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Начните отсюда" sheetId="1" r:id="rId1"/>
    <sheet name="2. Мои данные" sheetId="2" r:id="rId2"/>
    <sheet name="3. Все результаты" sheetId="3" r:id="rId3"/>
    <sheet name="4. Описательная статистика" sheetId="4" r:id="rId4"/>
    <sheet name="5. Отклонение и дисперсия" sheetId="5" r:id="rId5"/>
    <sheet name="6. Ошибка среднего и вариация" sheetId="6" r:id="rId6"/>
    <sheet name="7. Доверительный интервал" sheetId="7" r:id="rId7"/>
    <sheet name="8. Проверка нормальности" sheetId="8" r:id="rId8"/>
    <sheet name="9. t-Стьюдента (две группы)" sheetId="9" r:id="rId9"/>
    <sheet name="10. t-Стьюдента (до и после)" sheetId="10" r:id="rId10"/>
    <sheet name="11. t-Стьюдента (одна выборка)" sheetId="11" r:id="rId11"/>
    <sheet name="12. U Манна-Уитни" sheetId="12" r:id="rId12"/>
    <sheet name="13. T Вилкоксона" sheetId="13" r:id="rId13"/>
    <sheet name="14. χ² Пирсона" sheetId="14" r:id="rId14"/>
    <sheet name="15. Корреляция Пирсона" sheetId="15" r:id="rId15"/>
    <sheet name="16. Корреляция Спирмена" sheetId="16" r:id="rId16"/>
    <sheet name="17. Прирост и темп прироста" sheetId="17" r:id="rId17"/>
    <sheet name="18. Линейная регрессия" sheetId="18" r:id="rId18"/>
    <sheet name="19. Размер эффекта" sheetId="19" r:id="rId19"/>
    <sheet name="20. Графики" sheetId="20" r:id="rId20"/>
    <sheet name="21. Справочник формул" sheetId="21" r:id="rId21"/>
    <sheet name="22. Таблицы значений" sheetId="22" r:id="rId22"/>
    <sheet name="23. Расчёты" sheetId="23" state="hidden" r:id="rId23"/>
  </sheets>
  <definedNames>
    <definedName name="Режим">'2. Мои данные'!$B$4</definedName>
    <definedName name="Метка1">'2. Мои данные'!$B$5</definedName>
    <definedName name="Метка2">'2. Мои данные'!$C$5</definedName>
    <definedName name="Показатель">'2. Мои данные'!$B$6</definedName>
    <definedName name="Единицы">'2. Мои данные'!$B$7</definedName>
    <definedName name="Шкала">'2. Мои данные'!$B$8</definedName>
    <definedName name="Выборка1">'2. Мои данные'!$B$12:$B$131</definedName>
    <definedName name="Выборка2">'2. Мои данные'!$C$12:$C$131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"/>
    <numFmt numFmtId="165" formatCode="0.000"/>
    <numFmt numFmtId="166" formatCode="0"/>
  </numFmts>
  <fonts count="9">
    <font>
      <sz val="11"/>
      <name val="Calibri"/>
    </font>
    <font>
      <sz val="18"/>
      <name val="Calibri"/>
      <b/>
      <color rgb="FF1F3864"/>
    </font>
    <font>
      <sz val="12"/>
      <name val="Calibri"/>
      <b/>
      <color rgb="FFFFFFFF"/>
    </font>
    <font>
      <sz val="11"/>
      <name val="Calibri"/>
      <b/>
      <color rgb="FF1F3864"/>
    </font>
    <font>
      <sz val="11"/>
      <name val="Calibri"/>
      <b/>
      <color rgb="FFFFFFFF"/>
    </font>
    <font>
      <sz val="10"/>
      <name val="Calibri"/>
      <i/>
      <color rgb="FF6B6B6B"/>
    </font>
    <font>
      <sz val="11"/>
      <name val="Calibri"/>
      <b/>
      <color rgb="FF1E6B34"/>
    </font>
    <font>
      <sz val="10"/>
      <name val="Consolas"/>
      <color rgb="FF7B3F00"/>
    </font>
    <font>
      <sz val="11"/>
      <name val="Calibri"/>
      <b/>
    </font>
  </fonts>
  <fills count="9">
    <fill>
      <patternFill patternType="none"/>
    </fill>
    <fill>
      <patternFill patternType="gray125"/>
    </fill>
    <fill>
      <patternFill patternType="solid">
        <fgColor rgb="FFFFF4D6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2F559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AF4EC"/>
        <bgColor indexed="64"/>
      </patternFill>
    </fill>
    <fill>
      <patternFill patternType="solid">
        <fgColor rgb="FFFDF6EC"/>
        <bgColor indexed="64"/>
      </patternFill>
    </fill>
    <fill>
      <patternFill patternType="solid">
        <fgColor rgb="FFDDE7F5"/>
        <bgColor indexed="64"/>
      </patternFill>
    </fill>
  </fills>
  <borders count="4">
    <border/>
    <border>
      <left style="thin">
        <color rgb="FFB8C4D9"/>
      </left>
      <right style="thin">
        <color rgb="FFB8C4D9"/>
      </right>
      <top style="thin">
        <color rgb="FFB8C4D9"/>
      </top>
      <bottom style="thin">
        <color rgb="FFB8C4D9"/>
      </bottom>
    </border>
    <border>
      <left style="medium">
        <color rgb="FF8CC49A"/>
      </left>
      <right style="medium">
        <color rgb="FF8CC49A"/>
      </right>
      <top style="medium">
        <color rgb="FF8CC49A"/>
      </top>
      <bottom style="medium">
        <color rgb="FF8CC49A"/>
      </bottom>
    </border>
    <border>
      <bottom style="medium">
        <color rgb="FF2F5597"/>
      </bottom>
    </border>
  </borders>
  <cellStyleXfs count="1">
    <xf numFmtId="0" fontId="0" fillId="0" borderId="0"/>
  </cellStyleXfs>
  <cellXfs count="18">
    <xf numFmtId="0" fontId="0" fillId="0" borderId="0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2" fillId="5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7" fillId="7" borderId="1" xfId="0" applyNumberFormat="1" applyFont="1" applyFill="1" applyBorder="1" applyAlignment="1">
      <alignment horizontal="left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0" fontId="8" fillId="8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/>
            </a:pPr>
            <a:r>
              <a:rPr lang="ru-RU" sz="1200" b="1"/>
              <a:t>Средние значения с ошибкой среднего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</c:spPr>
          <c:errBars>
            <c:errDir val="y"/>
            <c:errBarType val="both"/>
            <c:errValType val="cust"/>
            <c:noEndCap val="0"/>
            <c:plus>
              <c:numRef>
                <c:f>'20. Графики'!$C$6:$C$7</c:f>
              </c:numRef>
            </c:plus>
            <c:minus>
              <c:numRef>
                <c:f>'20. Графики'!$C$6:$C$7</c:f>
              </c:numRef>
            </c:minus>
          </c:errBars>
          <c:cat>
            <c:strRef>
              <c:f>'20. Графики'!$A$6:$A$7</c:f>
            </c:strRef>
          </c:cat>
          <c:val>
            <c:numRef>
              <c:f>'20. Графики'!$B$6:$B$7</c:f>
            </c:numRef>
          </c:val>
        </c:ser>
        <c:gapWidth val="60"/>
        <c:axId val="111"/>
        <c:axId val="222"/>
      </c:barChart>
      <c:catAx>
        <c:axId val="111"/>
        <c:scaling>
          <c:orientation val="minMax"/>
        </c:scaling>
        <c:delete val="0"/>
        <c:axPos val="b"/>
        <c:crossAx val="222"/>
      </c:catAx>
      <c:valAx>
        <c:axId val="22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ru-RU" sz="1000"/>
                  <a:t>Значение показателя</a:t>
                </a:r>
              </a:p>
            </c:rich>
          </c:tx>
          <c:overlay val="0"/>
        </c:title>
        <c:crossAx val="111"/>
      </c:valAx>
    </c:plotArea>
    <c:plotVisOnly val="1"/>
    <c:dispBlanksAs val="gap"/>
  </c:chart>
  <c:spPr>
    <a:solidFill>
      <a:srgbClr val="FFFFFF"/>
    </a:solidFill>
    <a:ln>
      <a:solidFill>
        <a:srgbClr val="B8C4D9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/>
            </a:pPr>
            <a:r>
              <a:rPr lang="ru-RU" sz="1200" b="1"/>
              <a:t>Гистограмма распределения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</c:spPr>
          <c:cat>
            <c:strRef>
              <c:f>'20. Графики'!$A$11:$A$17</c:f>
            </c:strRef>
          </c:cat>
          <c:val>
            <c:numRef>
              <c:f>'20. Графики'!$B$11:$B$17</c:f>
            </c:numRef>
          </c:val>
        </c:ser>
        <c:gapWidth val="60"/>
        <c:axId val="111"/>
        <c:axId val="222"/>
      </c:barChart>
      <c:catAx>
        <c:axId val="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ru-RU" sz="1000"/>
                  <a:t>Интервалы значений</a:t>
                </a:r>
              </a:p>
            </c:rich>
          </c:tx>
          <c:overlay val="0"/>
        </c:title>
        <c:crossAx val="222"/>
      </c:catAx>
      <c:valAx>
        <c:axId val="22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ru-RU" sz="1000"/>
                  <a:t>Количество человек</a:t>
                </a:r>
              </a:p>
            </c:rich>
          </c:tx>
          <c:overlay val="0"/>
        </c:title>
        <c:crossAx val="111"/>
      </c:valAx>
    </c:plotArea>
    <c:plotVisOnly val="1"/>
    <c:dispBlanksAs val="gap"/>
  </c:chart>
  <c:spPr>
    <a:solidFill>
      <a:srgbClr val="FFFFFF"/>
    </a:solidFill>
    <a:ln>
      <a:solidFill>
        <a:srgbClr val="B8C4D9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200" b="1"/>
            </a:pPr>
            <a:r>
              <a:rPr lang="ru-RU" sz="1200" b="1"/>
              <a:t>Диаграмма рассеяния с линией тренда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spPr>
            <a:ln w="0">
              <a:noFill/>
            </a:ln>
          </c:spPr>
          <c:marker>
            <c:symbol val="circle"/>
            <c:size val="6"/>
            <c:spPr>
              <a:solidFill>
                <a:srgbClr val="4472C4"/>
              </a:solidFill>
            </c:spPr>
          </c:marker>
          <c:trendline>
            <c:trendlineType val="linear"/>
            <c:dispRSqr val="1"/>
            <c:dispEq val="1"/>
          </c:trendline>
          <c:xVal>
            <c:numRef>
              <c:f>Выборка1</c:f>
            </c:numRef>
          </c:xVal>
          <c:yVal>
            <c:numRef>
              <c:f>Выборка2</c:f>
            </c:numRef>
          </c:yVal>
        </c:ser>
        <c:axId val="111"/>
        <c:axId val="222"/>
      </c:scatterChart>
      <c:valAx>
        <c:axId val="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ru-RU" sz="1000"/>
                  <a:t>Первая выборка</a:t>
                </a:r>
              </a:p>
            </c:rich>
          </c:tx>
          <c:overlay val="0"/>
        </c:title>
        <c:crossAx val="222"/>
      </c:valAx>
      <c:valAx>
        <c:axId val="22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ru-RU" sz="1000"/>
                  <a:t>Вторая выборка</a:t>
                </a:r>
              </a:p>
            </c:rich>
          </c:tx>
          <c:overlay val="0"/>
        </c:title>
        <c:crossAx val="111"/>
      </c:valAx>
    </c:plotArea>
    <c:plotVisOnly val="1"/>
    <c:dispBlanksAs val="gap"/>
  </c:chart>
  <c:spPr>
    <a:solidFill>
      <a:srgbClr val="FFFFFF"/>
    </a:solidFill>
    <a:ln>
      <a:solidFill>
        <a:srgbClr val="B8C4D9"/>
      </a:solidFill>
    </a:ln>
  </c:sp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21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40</xdr:row>
      <xdr:rowOff>0</xdr:rowOff>
    </xdr:from>
    <xdr:to>
      <xdr:col>12</xdr:col>
      <xdr:colOff>0</xdr:colOff>
      <xdr:row>58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E7B34"/>
  </sheetPr>
  <sheetViews>
    <sheetView workbookViewId="0" showGridLines="0"/>
  </sheetViews>
  <sheetFormatPr defaultRowHeight="15"/>
  <cols>
    <col min="1" max="1" width="52.00" customWidth="1"/>
  </cols>
  <sheetData>
    <row r="1" ht="17" customHeight="1">
      <c r="A1" s="1" t="inlineStr">
        <is>
          <t xml:space="preserve">Статистика для диплома</t>
        </is>
      </c>
    </row>
    <row r="2" ht="34" customHeight="1">
      <c r="A2" s="10" t="inlineStr">
        <is>
          <t xml:space="preserve">Расчёт статистики по вашим данным: вставьте числа — получите готовые таблицы и вывод.</t>
        </is>
      </c>
    </row>
    <row r="4" ht="17" customHeight="1">
      <c r="A4" s="2" t="inlineStr">
        <is>
          <t xml:space="preserve">Три шага</t>
        </is>
      </c>
    </row>
    <row r="5" ht="49" customHeight="1">
      <c r="A5" s="10" t="inlineStr">
        <is>
          <t xml:space="preserve">1. Откройте лист «2. Мои данные». Наверху выберите, что вы сравниваете: «До и После» (одни и те же люди дважды) или «Две группы» (разные люди).</t>
        </is>
      </c>
    </row>
    <row r="6" ht="49" customHeight="1">
      <c r="A6" s="10" t="inlineStr">
        <is>
          <t xml:space="preserve">2. Впишите название своего показателя, единицы измерения и тип шкалы. Затем вставьте данные в жёлтые ячейки.</t>
        </is>
      </c>
    </row>
    <row r="7" ht="34" customHeight="1">
      <c r="A7" s="10" t="inlineStr">
        <is>
          <t xml:space="preserve">3. Откройте лист «3. Все результаты» — там всё посчитано и готово к вставке в диплом.</t>
        </is>
      </c>
    </row>
    <row r="9" ht="17" customHeight="1">
      <c r="A9" s="2" t="inlineStr">
        <is>
          <t xml:space="preserve">Один файл — один показатель</t>
        </is>
      </c>
    </row>
    <row r="10" ht="64" customHeight="1">
      <c r="A10" s="10" t="inlineStr">
        <is>
          <t xml:space="preserve">В книге считается ровно один показатель. Если показателей несколько (например, несколько шкал методики), сделайте копию файла на каждый: так ничего не перепутается, а таблицы останутся простыми.</t>
        </is>
      </c>
    </row>
    <row r="12" ht="17" customHeight="1">
      <c r="A12" s="2" t="inlineStr">
        <is>
          <t xml:space="preserve">Как файл выбирает критерий</t>
        </is>
      </c>
    </row>
    <row r="13" ht="17" customHeight="1">
      <c r="A13" s="10" t="inlineStr">
        <is>
          <t xml:space="preserve">Он делает это сам, по типу шкалы и по распределению:</t>
        </is>
      </c>
    </row>
    <row r="14" ht="49" customHeight="1">
      <c r="A14" s="10" t="inlineStr">
        <is>
          <t xml:space="preserve">• Баллы теста (порядковая шкала) → сразу ранговый критерий: Манна-Уитни или Вилкоксона. Нормальность для рангов не проверяется.</t>
        </is>
      </c>
    </row>
    <row r="15" ht="49" customHeight="1">
      <c r="A15" s="10" t="inlineStr">
        <is>
          <t xml:space="preserve">• Измерения в сантиметрах, килограммах, секундах (количественная шкала) → сначала проверка распределения, затем t-критерий Стьюдента либо ранговый критерий.</t>
        </is>
      </c>
    </row>
    <row r="16" ht="49" customHeight="1">
      <c r="A16" s="10" t="inlineStr">
        <is>
          <t xml:space="preserve">На листе результатов написано, какой критерий применён и почему — эту формулировку можно прямо переносить в диплом.</t>
        </is>
      </c>
    </row>
    <row r="18" ht="17" customHeight="1">
      <c r="A18" s="2" t="inlineStr">
        <is>
          <t xml:space="preserve">Что где лежит</t>
        </is>
      </c>
    </row>
    <row r="19" ht="34" customHeight="1">
      <c r="A19" s="10" t="inlineStr">
        <is>
          <t xml:space="preserve">Листы 4–8 — описательная статистика, разброс, доверительный интервал, проверка распределения.</t>
        </is>
      </c>
    </row>
    <row r="20" ht="34" customHeight="1">
      <c r="A20" s="10" t="inlineStr">
        <is>
          <t xml:space="preserve">Листы 9–13 — сравнение выборок: t-критерии Стьюдента, Манна-Уитни, Вилкоксон.</t>
        </is>
      </c>
    </row>
    <row r="21" ht="34" customHeight="1">
      <c r="A21" s="10" t="inlineStr">
        <is>
          <t xml:space="preserve">Лист 14 — χ² Пирсона, у него собственная таблица ввода для частот.</t>
        </is>
      </c>
    </row>
    <row r="22" ht="34" customHeight="1">
      <c r="A22" s="10" t="inlineStr">
        <is>
          <t xml:space="preserve">Листы 15–19 — корреляции, прирост, регрессия, размер эффекта.</t>
        </is>
      </c>
    </row>
    <row r="23" ht="17" customHeight="1">
      <c r="A23" s="10" t="inlineStr">
        <is>
          <t xml:space="preserve">Лист 20 — готовые диаграммы по вашим данным.</t>
        </is>
      </c>
    </row>
    <row r="24" ht="34" customHeight="1">
      <c r="A24" s="10" t="inlineStr">
        <is>
          <t xml:space="preserve">Листы 21–22 — справочник формул Excel и таблицы критических значений.</t>
        </is>
      </c>
    </row>
    <row r="26" ht="17" customHeight="1">
      <c r="A26" s="2" t="inlineStr">
        <is>
          <t xml:space="preserve">Чего этот файл не умеет</t>
        </is>
      </c>
    </row>
    <row r="27" ht="64" customHeight="1">
      <c r="A27" s="10" t="inlineStr">
        <is>
          <t xml:space="preserve">• Точное значение p для небольших выборок (до 20 человек) — Excel так не умеет, здесь нормальное приближение. Для таких выборок сравнивайте эмпирическое значение с табличным на листе «22. Таблицы значений».</t>
        </is>
      </c>
    </row>
    <row r="28" ht="34" customHeight="1">
      <c r="A28" s="10" t="inlineStr">
        <is>
          <t xml:space="preserve">• Строгий критерий Шапиро-Уилка — вместо него проверка по асимметрии и эксцессу.</t>
        </is>
      </c>
    </row>
    <row r="29" ht="34" customHeight="1">
      <c r="A29" s="10" t="inlineStr">
        <is>
          <t xml:space="preserve">• Сравнение трёх и более групп (дисперсионный анализ).</t>
        </is>
      </c>
    </row>
    <row r="31" ht="17" customHeight="1">
      <c r="A31" s="2" t="inlineStr">
        <is>
          <t xml:space="preserve">Если что-то пошло не так</t>
        </is>
      </c>
    </row>
    <row r="32" ht="49" customHeight="1">
      <c r="A32" s="10" t="inlineStr">
        <is>
          <t xml:space="preserve">Пустые результаты или ошибка деления — скорее всего, не заполнено название показателя или данных меньше двух строк.</t>
        </is>
      </c>
    </row>
    <row r="33" ht="49" customHeight="1">
      <c r="A33" s="10" t="inlineStr">
        <is>
          <t xml:space="preserve">Формула видна как текст — нажмите Ctrl+` (или Ctrl+Ё): это режим показа формул, он выключается той же кнопкой.</t>
        </is>
      </c>
    </row>
    <row r="34" ht="49" customHeight="1">
      <c r="A34" s="10" t="inlineStr">
        <is>
          <t xml:space="preserve">Числа не считаются — проверьте, что данные вставлены как числа, а не как текст. Частая беда при копировании из Word.</t>
        </is>
      </c>
    </row>
  </sheetData>
  <mergeCells count="6">
    <mergeCell ref="A4:A4"/>
    <mergeCell ref="A9:A9"/>
    <mergeCell ref="A12:A12"/>
    <mergeCell ref="A18:A18"/>
    <mergeCell ref="A26:A26"/>
    <mergeCell ref="A31:A31"/>
  </mergeCell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4472C4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t-Стьюдента (до и после)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17" customHeight="1">
      <c r="A4" s="10" t="inlineStr">
        <is>
          <t xml:space="preserve">Парный t-критерий сравнивает два замера у одних и тех же людей: до эксперимента и после него.</t>
        </is>
      </c>
    </row>
    <row r="5" ht="17" customHeight="1">
      <c r="A5" s="10" t="inlineStr">
        <is>
          <t xml:space="preserve">Он работает не с самими значениями, а с разностями каждого человека — поэтому и называется парным.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Замеры сделаны на одной и той же группе дважды, и строки соответствуют друг другу: в одной строке — один человек.</t>
        </is>
      </c>
    </row>
    <row r="9" ht="17" customHeight="1">
      <c r="A9" s="10" t="inlineStr">
        <is>
          <t xml:space="preserve">Разности распределены нормально (проверяется на листе «Проверка нормальности»).</t>
        </is>
      </c>
    </row>
    <row r="10" ht="17" customHeight="1">
      <c r="A10" s="10" t="inlineStr">
        <is>
          <t xml:space="preserve">Если распределение разностей ненормальное или данные в баллах — применяйте T Вилкоксона.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17" customHeight="1">
      <c r="A13" s="3" t="inlineStr">
        <is>
          <t xml:space="preserve">Готовое значение p</t>
        </is>
      </c>
      <c r="B13" s="12" t="str">
        <f>"=ТТЕСТ("&amp;"B12:B131"&amp;";"&amp;"C12:C131"&amp;";2;1)"</f>
      </c>
      <c r="C13" s="10" t="inlineStr">
        <is>
          <t xml:space="preserve">последний аргумент 1 — парный</t>
        </is>
      </c>
    </row>
    <row r="14" ht="17" customHeight="1">
      <c r="A14" s="3" t="inlineStr">
        <is>
          <t xml:space="preserve">Разность по человеку</t>
        </is>
      </c>
      <c r="B14" s="12" t="str">
        <f>"=до - после"</f>
      </c>
    </row>
    <row r="15" ht="17" customHeight="1">
      <c r="A15" s="3" t="inlineStr">
        <is>
          <t xml:space="preserve">Среднее разностей</t>
        </is>
      </c>
      <c r="B15" s="12" t="str">
        <f>"=СРЗНАЧ(столбец разностей)"</f>
      </c>
    </row>
    <row r="16" ht="17" customHeight="1">
      <c r="A16" s="3" t="inlineStr">
        <is>
          <t xml:space="preserve">Эмпирическое t</t>
        </is>
      </c>
      <c r="B16" s="12" t="str">
        <f>"=среднее разностей/(СТАНДОТКЛОН(разности)/КОРЕНЬ(n))"</f>
      </c>
    </row>
    <row r="18" ht="17" customHeight="1">
      <c r="A18" s="2" t="inlineStr">
        <is>
          <t xml:space="preserve">Ваш расчёт</t>
        </is>
      </c>
      <c r="B18" s="2"/>
      <c r="C18" s="2"/>
    </row>
    <row r="19" ht="17" customHeight="1">
      <c r="A19" s="3" t="inlineStr">
        <is>
          <t xml:space="preserve">Режим</t>
        </is>
      </c>
      <c r="B19" s="6" t="str">
        <f>IF('23. Расчёты'!$B$46=1,"Режим выбран верно.","ВНИМАНИЕ: на листе «Мои данные» выбрано «Две группы». Этот критерий для режима «До и После» — результат ниже считается справочно.")</f>
      </c>
    </row>
    <row r="20" ht="17" customHeight="1">
      <c r="A20" s="3" t="inlineStr">
        <is>
          <t xml:space="preserve">Число пар (n)</t>
        </is>
      </c>
      <c r="B20" s="13">
        <f>'23. Расчёты'!$B$20</f>
      </c>
    </row>
    <row r="21" ht="17" customHeight="1">
      <c r="A21" s="3" t="inlineStr">
        <is>
          <t xml:space="preserve">Среднее «до» (M₁)</t>
        </is>
      </c>
      <c r="B21" s="7">
        <f>IF('23. Расчёты'!$B$4="","—",'23. Расчёты'!$B$4)</f>
      </c>
    </row>
    <row r="22" ht="17" customHeight="1">
      <c r="A22" s="3" t="inlineStr">
        <is>
          <t xml:space="preserve">Среднее «после» (M₂)</t>
        </is>
      </c>
      <c r="B22" s="7">
        <f>IF('23. Расчёты'!$B$5="","—",'23. Расчёты'!$B$5)</f>
      </c>
    </row>
    <row r="23" ht="17" customHeight="1">
      <c r="A23" s="3" t="inlineStr">
        <is>
          <t xml:space="preserve">Среднее разностей</t>
        </is>
      </c>
      <c r="B23" s="7">
        <f>IF('23. Расчёты'!$B$21="","—",'23. Расчёты'!$B$21)</f>
      </c>
    </row>
    <row r="24" ht="17" customHeight="1">
      <c r="A24" s="3" t="inlineStr">
        <is>
          <t xml:space="preserve">Отклонение разностей</t>
        </is>
      </c>
      <c r="B24" s="7">
        <f>IF('23. Расчёты'!$B$22="","—",'23. Расчёты'!$B$22)</f>
      </c>
    </row>
    <row r="25" ht="17" customHeight="1">
      <c r="A25" s="3" t="inlineStr">
        <is>
          <t xml:space="preserve">Число степеней свободы (df)</t>
        </is>
      </c>
      <c r="B25" s="13">
        <f>IF('23. Расчёты'!$B$20=0,"—",'23. Расчёты'!$B$20-1)</f>
      </c>
    </row>
    <row r="26" ht="17" customHeight="1">
      <c r="A26" s="3" t="inlineStr">
        <is>
          <t xml:space="preserve">Эмпирическое t</t>
        </is>
      </c>
      <c r="B26" s="8">
        <f>IF('23. Расчёты'!$B$28="","—",'23. Расчёты'!$B$28)</f>
      </c>
    </row>
    <row r="27" ht="17" customHeight="1">
      <c r="A27" s="3" t="inlineStr">
        <is>
          <t xml:space="preserve">Критическое t (α = 0,05)</t>
        </is>
      </c>
      <c r="B27" s="8">
        <f>IF('23. Расчёты'!$B$20&lt;2,"—",TINV(0.05,'23. Расчёты'!$B$20-1))</f>
      </c>
    </row>
    <row r="28" ht="17" customHeight="1">
      <c r="A28" s="3" t="inlineStr">
        <is>
          <t xml:space="preserve">Уровень значимости p</t>
        </is>
      </c>
      <c r="B28" s="8">
        <f>IF('23. Расчёты'!$B$29="","—",'23. Расчёты'!$B$29)</f>
      </c>
    </row>
    <row r="29" ht="17" customHeight="1">
      <c r="A29" s="3" t="inlineStr">
        <is>
          <t xml:space="preserve">Размер эффекта (d Коэна)</t>
        </is>
      </c>
      <c r="B29" s="8">
        <f>IF('23. Расчёты'!$B$30="","—",'23. Расчёты'!$B$30)</f>
      </c>
    </row>
    <row r="30" ht="17" customHeight="1">
      <c r="A30" s="3" t="inlineStr">
        <is>
          <t xml:space="preserve">Направление изменения</t>
        </is>
      </c>
      <c r="B30" s="6" t="str">
        <f>IF('23. Расчёты'!$B$21="","—",IF('23. Расчёты'!$B$21&lt;0,"показатель вырос","показатель снизился"))</f>
      </c>
    </row>
    <row r="32" ht="17" customHeight="1">
      <c r="A32" s="2" t="inlineStr">
        <is>
          <t xml:space="preserve">Вывод для диплома</t>
        </is>
      </c>
      <c r="B32" s="2"/>
      <c r="C32" s="2"/>
    </row>
    <row r="33" ht="34" customHeight="1">
      <c r="A33" s="11" t="str">
        <f>IF('23. Расчёты'!$B$29="","Недостаточно данных для расчёта.",IF('23. Расчёты'!$B$29&lt;0.05,"Различия между выборками по показателю «"&amp;Показатель&amp;"» статистически достоверны (парный t-критерий Стьюдента, p "&amp;IF('23. Расчёты'!$B$29&lt;0.001,"&lt; 0,001","= "&amp;FIXED('23. Расчёты'!$B$29,3,TRUE))&amp;"). Нулевая гипотеза отвергается.","Статистически достоверных различий по показателю «"&amp;Показатель&amp;"» не выявлено (парный t-критерий Стьюдента, p = "&amp;FIXED('23. Расчёты'!$B$29,3,TRUE)&amp;"). Нулевая гипотеза принимается."))</f>
      </c>
      <c r="B33" s="11"/>
      <c r="C33" s="11"/>
    </row>
    <row r="35" ht="17" customHeight="1">
      <c r="A35" s="2" t="inlineStr">
        <is>
          <t xml:space="preserve">Частые ошибки</t>
        </is>
      </c>
      <c r="B35" s="2"/>
      <c r="C35" s="2"/>
    </row>
    <row r="36" ht="17" customHeight="1">
      <c r="A36" s="10" t="inlineStr">
        <is>
          <t xml:space="preserve">Строки перепутаны: в одной строке оказываются замеры разных людей. Парный критерий этого не прощает.</t>
        </is>
      </c>
    </row>
    <row r="37" ht="17" customHeight="1">
      <c r="A37" s="10" t="inlineStr">
        <is>
          <t xml:space="preserve">У части людей заполнен только один замер. Такие строки в расчёт не идут — их нужно либо дозаполнить, либо удалить.</t>
        </is>
      </c>
    </row>
    <row r="38" ht="17" customHeight="1">
      <c r="A38" s="10" t="inlineStr">
        <is>
          <t xml:space="preserve">Проверяют нормальность исходных значений вместо разностей.</t>
        </is>
      </c>
    </row>
    <row r="39" ht="17" customHeight="1">
      <c r="A39" s="10" t="inlineStr">
        <is>
          <t xml:space="preserve">Применяют к баллам опросника вместо критерия Вилкоксона.</t>
        </is>
      </c>
    </row>
  </sheetData>
  <mergeCells count="17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8:C18"/>
    <mergeCell ref="A32:C32"/>
    <mergeCell ref="A33:C33"/>
    <mergeCell ref="A35:C35"/>
    <mergeCell ref="A36:C36"/>
    <mergeCell ref="A37:C37"/>
    <mergeCell ref="A38:C38"/>
    <mergeCell ref="A39:C39"/>
  </mergeCell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4472C4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t-Стьюдента (одна выборка)</t>
        </is>
      </c>
      <c r="B1" s="1"/>
      <c r="C1" s="1"/>
    </row>
    <row r="3" ht="34" customHeight="1">
      <c r="A3" s="3" t="inlineStr">
        <is>
          <t xml:space="preserve">С каким значением сравниваем</t>
        </is>
      </c>
      <c r="B3" s="5">
        <v>0</v>
      </c>
      <c r="C3" s="10" t="inlineStr">
        <is>
          <t xml:space="preserve">← впишите норматив, среднее по популяции или значение из литературы</t>
        </is>
      </c>
    </row>
    <row r="5" ht="17" customHeight="1">
      <c r="A5" s="2" t="inlineStr">
        <is>
          <t xml:space="preserve">Что это такое</t>
        </is>
      </c>
      <c r="B5" s="2"/>
      <c r="C5" s="2"/>
    </row>
    <row r="6" ht="34" customHeight="1">
      <c r="A6" s="10" t="inlineStr">
        <is>
          <t xml:space="preserve">Этот вариант критерия сравнивает вашу группу не с другой группой, а с известным числом: нормативом ГТО, средним по возрастной норме, показателем из литературы.</t>
        </is>
      </c>
    </row>
    <row r="7" ht="17" customHeight="1">
      <c r="A7" s="10" t="inlineStr">
        <is>
          <t xml:space="preserve">Отвечает на вопрос: отличается ли ваша выборка от этого эталона, или совпадает с ним.</t>
        </is>
      </c>
    </row>
    <row r="9" ht="17" customHeight="1">
      <c r="A9" s="2" t="inlineStr">
        <is>
          <t xml:space="preserve">Когда применять</t>
        </is>
      </c>
      <c r="B9" s="2"/>
      <c r="C9" s="2"/>
    </row>
    <row r="10" ht="17" customHeight="1">
      <c r="A10" s="10" t="inlineStr">
        <is>
          <t xml:space="preserve">Есть общепринятый норматив или значение из чужого исследования, с которым нужно сравниться.</t>
        </is>
      </c>
    </row>
    <row r="11" ht="17" customHeight="1">
      <c r="A11" s="10" t="inlineStr">
        <is>
          <t xml:space="preserve">Данные — измерения, распределение близко к нормальному.</t>
        </is>
      </c>
    </row>
    <row r="13" ht="17" customHeight="1">
      <c r="A13" s="2" t="inlineStr">
        <is>
          <t xml:space="preserve">Какую формулу вбить в Excel</t>
        </is>
      </c>
      <c r="B13" s="2"/>
      <c r="C13" s="2"/>
    </row>
    <row r="14" ht="34" customHeight="1">
      <c r="A14" s="3" t="inlineStr">
        <is>
          <t xml:space="preserve">Эмпирическое t</t>
        </is>
      </c>
      <c r="B14" s="12" t="str">
        <f>"=(СРЗНАЧ("&amp;"B12:B131"&amp;")-норматив)/(СТАНДОТКЛОН("&amp;"B12:B131"&amp;")/КОРЕНЬ(СЧЁТ("&amp;"B12:B131"&amp;")))"</f>
      </c>
    </row>
    <row r="15" ht="17" customHeight="1">
      <c r="A15" s="3" t="inlineStr">
        <is>
          <t xml:space="preserve">Уровень значимости</t>
        </is>
      </c>
      <c r="B15" s="12" t="str">
        <f>"=СТЬЮДРАСП(ABS(t);n-1;2)"</f>
      </c>
    </row>
    <row r="17" ht="17" customHeight="1">
      <c r="A17" s="2" t="inlineStr">
        <is>
          <t xml:space="preserve">Ваш расчёт</t>
        </is>
      </c>
      <c r="B17" s="2"/>
      <c r="C17" s="2"/>
    </row>
    <row r="18" ht="17" customHeight="1">
      <c r="A18" s="3" t="inlineStr">
        <is>
          <t xml:space="preserve">Количество (n)</t>
        </is>
      </c>
      <c r="B18" s="13">
        <f>COUNT(Выборка1)</f>
      </c>
    </row>
    <row r="19" ht="17" customHeight="1">
      <c r="A19" s="3" t="inlineStr">
        <is>
          <t xml:space="preserve">Среднее выборки (M)</t>
        </is>
      </c>
      <c r="B19" s="7">
        <f>IF(COUNT(Выборка1)=0,"—",AVERAGE(Выборка1))</f>
      </c>
    </row>
    <row r="20" ht="17" customHeight="1">
      <c r="A20" s="3" t="inlineStr">
        <is>
          <t xml:space="preserve">Норматив для сравнения</t>
        </is>
      </c>
      <c r="B20" s="7">
        <f>$B$3</f>
      </c>
    </row>
    <row r="21" ht="17" customHeight="1">
      <c r="A21" s="3" t="inlineStr">
        <is>
          <t xml:space="preserve">Отклонение (σ)</t>
        </is>
      </c>
      <c r="B21" s="7">
        <f>IF(COUNT(Выборка1)&lt;2,"—",STDEV(Выборка1))</f>
      </c>
    </row>
    <row r="22" ht="17" customHeight="1">
      <c r="A22" s="3" t="inlineStr">
        <is>
          <t xml:space="preserve">Ошибка среднего (m)</t>
        </is>
      </c>
      <c r="B22" s="7">
        <f>IF(COUNT(Выборка1)&lt;2,"—",STDEV(Выборка1)/SQRT(COUNT(Выборка1)))</f>
      </c>
    </row>
    <row r="23" ht="17" customHeight="1">
      <c r="A23" s="3" t="inlineStr">
        <is>
          <t xml:space="preserve">Эмпирическое t</t>
        </is>
      </c>
      <c r="B23" s="8">
        <f>IF(OR(COUNT(Выборка1)&lt;2,STDEV(Выборка1)=0),"—",(AVERAGE(Выборка1)-$B$3)/(STDEV(Выборка1)/SQRT(COUNT(Выборка1))))</f>
      </c>
    </row>
    <row r="24" ht="17" customHeight="1">
      <c r="A24" s="3" t="inlineStr">
        <is>
          <t xml:space="preserve">Число степеней свободы (df)</t>
        </is>
      </c>
      <c r="B24" s="13">
        <f>IF(COUNT(Выборка1)&lt;2,"—",COUNT(Выборка1)-1)</f>
      </c>
    </row>
    <row r="25" ht="17" customHeight="1">
      <c r="A25" s="3" t="inlineStr">
        <is>
          <t xml:space="preserve">Критическое t (α = 0,05)</t>
        </is>
      </c>
      <c r="B25" s="8">
        <f>IF(COUNT(Выборка1)&lt;2,"—",TINV(0.05,COUNT(Выборка1)-1))</f>
      </c>
    </row>
    <row r="26" ht="17" customHeight="1">
      <c r="A26" s="3" t="inlineStr">
        <is>
          <t xml:space="preserve">Уровень значимости p</t>
        </is>
      </c>
      <c r="B26" s="8">
        <f>IF(OR(COUNT(Выборка1)&lt;2,STDEV(Выборка1)=0),"—",IFERROR(TDIST(ABS((AVERAGE(Выборка1)-$B$3)/(STDEV(Выборка1)/SQRT(COUNT(Выборка1)))),COUNT(Выборка1)-1,2),1))</f>
      </c>
    </row>
    <row r="28" ht="17" customHeight="1">
      <c r="A28" s="2" t="inlineStr">
        <is>
          <t xml:space="preserve">Вывод для диплома</t>
        </is>
      </c>
      <c r="B28" s="2"/>
      <c r="C28" s="2"/>
    </row>
    <row r="29" ht="34" customHeight="1">
      <c r="A29" s="11" t="str">
        <f>IF(OR(COUNT(Выборка1)&lt;2,STDEV(Выборка1)=0),"Впишите норматив и заполните данные.",IF(IFERROR(TDIST(ABS((AVERAGE(Выборка1)-$B$3)/(STDEV(Выборка1)/SQRT(COUNT(Выборка1)))),COUNT(Выборка1)-1,2),1)&lt;0.05,"Среднее значение показателя «"&amp;Показатель&amp;"» ("&amp;FIXED(AVERAGE(Выборка1),2,TRUE)&amp;" "&amp;Единицы&amp;") достоверно отличается от эталонного значения "&amp;FIXED($B$3,2,TRUE)&amp;" (t-критерий Стьюдента для одной выборки, p &lt; 0,05).","Среднее значение показателя «"&amp;Показатель&amp;"» ("&amp;FIXED(AVERAGE(Выборка1),2,TRUE)&amp;" "&amp;Единицы&amp;") достоверно не отличается от эталонного значения "&amp;FIXED($B$3,2,TRUE)&amp;" (p &gt; 0,05)."))</f>
      </c>
      <c r="B29" s="11"/>
      <c r="C29" s="11"/>
    </row>
    <row r="31" ht="17" customHeight="1">
      <c r="A31" s="2" t="inlineStr">
        <is>
          <t xml:space="preserve">Частые ошибки</t>
        </is>
      </c>
      <c r="B31" s="2"/>
      <c r="C31" s="2"/>
    </row>
    <row r="32" ht="17" customHeight="1">
      <c r="A32" s="10" t="inlineStr">
        <is>
          <t xml:space="preserve">Забывают вписать норматив — тогда сравнение идёт с нулём и результат бессмысленный.</t>
        </is>
      </c>
    </row>
    <row r="33" ht="17" customHeight="1">
      <c r="A33" s="10" t="inlineStr">
        <is>
          <t xml:space="preserve">Берут норматив из источника с другими единицами измерения.</t>
        </is>
      </c>
    </row>
    <row r="34" ht="17" customHeight="1">
      <c r="A34" s="10" t="inlineStr">
        <is>
          <t xml:space="preserve">Сравнивают с нормативом, рассчитанным на другой возраст или пол.</t>
        </is>
      </c>
    </row>
  </sheetData>
  <mergeCells count="15">
    <mergeCell ref="A1:C1"/>
    <mergeCell ref="A5:C5"/>
    <mergeCell ref="A6:C6"/>
    <mergeCell ref="A7:C7"/>
    <mergeCell ref="A9:C9"/>
    <mergeCell ref="A10:C10"/>
    <mergeCell ref="A11:C11"/>
    <mergeCell ref="A13:C13"/>
    <mergeCell ref="A17:C17"/>
    <mergeCell ref="A28:C28"/>
    <mergeCell ref="A29:C29"/>
    <mergeCell ref="A31:C31"/>
    <mergeCell ref="A32:C32"/>
    <mergeCell ref="A33:C33"/>
    <mergeCell ref="A34:C34"/>
  </mergeCell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4472C4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U Манна-Уитни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U-критерий Манна-Уитни сравнивает две независимые группы, не требуя нормального распределения. Он работает не с самими значениями, а с их рангами — местами в общем ряду.</t>
        </is>
      </c>
    </row>
    <row r="5" ht="17" customHeight="1">
      <c r="A5" s="10" t="inlineStr">
        <is>
          <t xml:space="preserve">Это главная замена t-критерия Стьюдента, когда данные — баллы теста или распределение далеко от нормального.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Данные в баллах, рангах, уровнях — то есть порядковая шкала.</t>
        </is>
      </c>
    </row>
    <row r="9" ht="17" customHeight="1">
      <c r="A9" s="10" t="inlineStr">
        <is>
          <t xml:space="preserve">Или данные-измерения, но распределение отличается от нормального.</t>
        </is>
      </c>
    </row>
    <row r="10" ht="17" customHeight="1">
      <c r="A10" s="10" t="inlineStr">
        <is>
          <t xml:space="preserve">Группы независимые — то есть разные люди. Для повторных замеров нужен критерий Вилкоксона.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17" customHeight="1">
      <c r="A13" s="3" t="inlineStr">
        <is>
          <t xml:space="preserve">Готовой функции в Excel нет</t>
        </is>
      </c>
      <c r="B13" s="12" t="str">
        <f>"—"</f>
      </c>
      <c r="C13" s="10" t="inlineStr">
        <is>
          <t xml:space="preserve">считается через ранги</t>
        </is>
      </c>
    </row>
    <row r="14" ht="34" customHeight="1">
      <c r="A14" s="3" t="inlineStr">
        <is>
          <t xml:space="preserve">Ранг значения</t>
        </is>
      </c>
      <c r="B14" s="12" t="str">
        <f>"=СЧЁТЕСЛИ(обе группы;""&lt;""&amp;значение)+(число таких же+1)/2"</f>
      </c>
    </row>
    <row r="15" ht="17" customHeight="1">
      <c r="A15" s="3" t="inlineStr">
        <is>
          <t xml:space="preserve">Сумма рангов первой группы</t>
        </is>
      </c>
      <c r="B15" s="12" t="str">
        <f>"=СУММ(ранги первой группы)"</f>
      </c>
    </row>
    <row r="16" ht="17" customHeight="1">
      <c r="A16" s="3" t="inlineStr">
        <is>
          <t xml:space="preserve">U</t>
        </is>
      </c>
      <c r="B16" s="12" t="str">
        <f>"=n1*n2+n1*(n1+1)/2-сумма рангов"</f>
      </c>
    </row>
    <row r="18" ht="17" customHeight="1">
      <c r="A18" s="2" t="inlineStr">
        <is>
          <t xml:space="preserve">Ваш расчёт</t>
        </is>
      </c>
      <c r="B18" s="2"/>
      <c r="C18" s="2"/>
    </row>
    <row r="19" ht="49" customHeight="1">
      <c r="A19" s="3" t="inlineStr">
        <is>
          <t xml:space="preserve">Режим</t>
        </is>
      </c>
      <c r="B19" s="6" t="str">
        <f>IF('23. Расчёты'!$B$46=1,"ВНИМАНИЕ: на листе «Мои данные» выбрано «До и После». Этот критерий для двух независимых групп — результат ниже считается справочно.","Режим выбран верно.")</f>
      </c>
    </row>
    <row r="20" ht="17" customHeight="1">
      <c r="A20" s="3" t="inlineStr">
        <is>
          <t xml:space="preserve">n первой выборки</t>
        </is>
      </c>
      <c r="B20" s="13">
        <f>'23. Расчёты'!$B$2</f>
      </c>
    </row>
    <row r="21" ht="17" customHeight="1">
      <c r="A21" s="3" t="inlineStr">
        <is>
          <t xml:space="preserve">n второй выборки</t>
        </is>
      </c>
      <c r="B21" s="13">
        <f>'23. Расчёты'!$B$3</f>
      </c>
    </row>
    <row r="22" ht="17" customHeight="1">
      <c r="A22" s="3" t="inlineStr">
        <is>
          <t xml:space="preserve">Сумма рангов первой (R₁)</t>
        </is>
      </c>
      <c r="B22" s="7">
        <f>IF('23. Расчёты'!$B$2=0,"—",'23. Расчёты'!$B$35)</f>
      </c>
    </row>
    <row r="23" ht="17" customHeight="1">
      <c r="A23" s="3" t="inlineStr">
        <is>
          <t xml:space="preserve">U для первой выборки</t>
        </is>
      </c>
      <c r="B23" s="7">
        <f>IF('23. Расчёты'!$B$36="","—",'23. Расчёты'!$B$36)</f>
      </c>
    </row>
    <row r="24" ht="17" customHeight="1">
      <c r="A24" s="3" t="inlineStr">
        <is>
          <t xml:space="preserve">U для второй выборки</t>
        </is>
      </c>
      <c r="B24" s="7">
        <f>IF('23. Расчёты'!$B$36="","—",'23. Расчёты'!$B$2*'23. Расчёты'!$B$3-'23. Расчёты'!$B$36)</f>
      </c>
    </row>
    <row r="25" ht="17" customHeight="1">
      <c r="A25" s="3" t="inlineStr">
        <is>
          <t xml:space="preserve">Эмпирическое U (меньшее)</t>
        </is>
      </c>
      <c r="B25" s="7">
        <f>IF('23. Расчёты'!$B$37="","—",'23. Расчёты'!$B$37)</f>
      </c>
    </row>
    <row r="26" ht="17" customHeight="1">
      <c r="A26" s="3" t="inlineStr">
        <is>
          <t xml:space="preserve">Поправка на совпадения</t>
        </is>
      </c>
      <c r="B26" s="7">
        <f>'23. Расчёты'!$B$38</f>
      </c>
      <c r="C26" s="10" t="inlineStr">
        <is>
          <t xml:space="preserve">0 — совпадающих значений нет</t>
        </is>
      </c>
    </row>
    <row r="27" ht="17" customHeight="1">
      <c r="A27" s="3" t="inlineStr">
        <is>
          <t xml:space="preserve">z (нормальное приближение)</t>
        </is>
      </c>
      <c r="B27" s="8">
        <f>IF('23. Расчёты'!$B$39="","—",'23. Расчёты'!$B$39)</f>
      </c>
    </row>
    <row r="28" ht="17" customHeight="1">
      <c r="A28" s="3" t="inlineStr">
        <is>
          <t xml:space="preserve">Уровень значимости p</t>
        </is>
      </c>
      <c r="B28" s="8">
        <f>IF('23. Расчёты'!$B$40="","—",'23. Расчёты'!$B$40)</f>
      </c>
    </row>
    <row r="29" ht="17" customHeight="1">
      <c r="A29" s="3" t="inlineStr">
        <is>
          <t xml:space="preserve">Размер эффекта (r)</t>
        </is>
      </c>
      <c r="B29" s="8">
        <f>IF(OR('23. Расчёты'!$B$39="",'23. Расчёты'!$B$2+'23. Расчёты'!$B$3=0),"—",'23. Расчёты'!$B$39/SQRT('23. Расчёты'!$B$2+'23. Расчёты'!$B$3))</f>
      </c>
    </row>
    <row r="31" ht="17" customHeight="1">
      <c r="A31" s="2" t="inlineStr">
        <is>
          <t xml:space="preserve">Вывод для диплома</t>
        </is>
      </c>
      <c r="B31" s="2"/>
      <c r="C31" s="2"/>
    </row>
    <row r="32" ht="34" customHeight="1">
      <c r="A32" s="11" t="str">
        <f>IF('23. Расчёты'!$B$40="","Недостаточно данных для расчёта.",IF('23. Расчёты'!$B$40&lt;0.05,"Различия между выборками по показателю «"&amp;Показатель&amp;"» статистически достоверны (U-критерий Манна-Уитни, p "&amp;IF('23. Расчёты'!$B$40&lt;0.001,"&lt; 0,001","= "&amp;FIXED('23. Расчёты'!$B$40,3,TRUE))&amp;"). Нулевая гипотеза отвергается.","Статистически достоверных различий по показателю «"&amp;Показатель&amp;"» не выявлено (U-критерий Манна-Уитни, p = "&amp;FIXED('23. Расчёты'!$B$40,3,TRUE)&amp;"). Нулевая гипотеза принимается."))</f>
      </c>
      <c r="B32" s="11"/>
      <c r="C32" s="11"/>
    </row>
    <row r="34" ht="17" customHeight="1">
      <c r="A34" s="2" t="inlineStr">
        <is>
          <t xml:space="preserve">Частые ошибки</t>
        </is>
      </c>
      <c r="B34" s="2"/>
      <c r="C34" s="2"/>
    </row>
    <row r="35" ht="17" customHeight="1">
      <c r="A35" s="10" t="inlineStr">
        <is>
          <t xml:space="preserve">Сравнивают средние вместо медиан. Для рангового критерия описывать группы правильнее медианой и квартилями.</t>
        </is>
      </c>
    </row>
    <row r="36" ht="17" customHeight="1">
      <c r="A36" s="10" t="inlineStr">
        <is>
          <t xml:space="preserve">Применяют к замерам «до и после» одних и тех же людей — там нужен Вилкоксон.</t>
        </is>
      </c>
    </row>
    <row r="37" ht="17" customHeight="1">
      <c r="A37" s="10" t="inlineStr">
        <is>
          <t xml:space="preserve">При совпадающих значениях не учитывают поправку на связи. Здесь она учтена автоматически.</t>
        </is>
      </c>
    </row>
    <row r="38" ht="34" customHeight="1">
      <c r="A38" s="10" t="inlineStr">
        <is>
          <t xml:space="preserve">Для маленьких выборок Excel даёт только приближённое p. Классический вузовский путь — сравнить эмпирическое U с табличным на листе «22. Таблицы значений».</t>
        </is>
      </c>
    </row>
  </sheetData>
  <mergeCells count="17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8:C18"/>
    <mergeCell ref="A31:C31"/>
    <mergeCell ref="A32:C32"/>
    <mergeCell ref="A34:C34"/>
    <mergeCell ref="A35:C35"/>
    <mergeCell ref="A36:C36"/>
    <mergeCell ref="A37:C37"/>
    <mergeCell ref="A38:C38"/>
  </mergeCell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4472C4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T Вилкоксона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Критерий Вилкоксона проверяет, достоверно ли изменился показатель у одних и тех же людей после эксперимента, когда обычный t-критерий применять нельзя.</t>
        </is>
      </c>
    </row>
    <row r="5" ht="34" customHeight="1">
      <c r="A5" s="10" t="inlineStr">
        <is>
          <t xml:space="preserve">Он считает разности по каждому человеку, отбрасывает нулевые, ранжирует остальные по модулю и сравнивает сумму «положительных» рангов с суммой «отрицательных».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Замеры повторные: одни и те же люди до и после.</t>
        </is>
      </c>
    </row>
    <row r="9" ht="17" customHeight="1">
      <c r="A9" s="10" t="inlineStr">
        <is>
          <t xml:space="preserve">Данные в баллах, либо разности распределены ненормально.</t>
        </is>
      </c>
    </row>
    <row r="10" ht="17" customHeight="1">
      <c r="A10" s="10" t="inlineStr">
        <is>
          <t xml:space="preserve">Нужно минимум 5 ненулевых разностей, иначе критерий бессилен.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17" customHeight="1">
      <c r="A13" s="3" t="inlineStr">
        <is>
          <t xml:space="preserve">Готовой функции в Excel нет</t>
        </is>
      </c>
      <c r="B13" s="12" t="str">
        <f>"—"</f>
      </c>
      <c r="C13" s="10" t="inlineStr">
        <is>
          <t xml:space="preserve">считается через ранги разностей</t>
        </is>
      </c>
    </row>
    <row r="14" ht="17" customHeight="1">
      <c r="A14" s="3" t="inlineStr">
        <is>
          <t xml:space="preserve">Разность</t>
        </is>
      </c>
      <c r="B14" s="12" t="str">
        <f>"=до - после"</f>
      </c>
    </row>
    <row r="15" ht="17" customHeight="1">
      <c r="A15" s="3" t="inlineStr">
        <is>
          <t xml:space="preserve">Ранг модуля разности</t>
        </is>
      </c>
      <c r="B15" s="12" t="str">
        <f>"=СЧЁТЕСЛИ(модули;""&lt;""&amp;модуль)+(число таких же+1)/2"</f>
      </c>
    </row>
    <row r="16" ht="17" customHeight="1">
      <c r="A16" s="3" t="inlineStr">
        <is>
          <t xml:space="preserve">T</t>
        </is>
      </c>
      <c r="B16" s="12" t="str">
        <f>"=МИН(сумма положительных рангов; сумма отрицательных)"</f>
      </c>
    </row>
    <row r="18" ht="17" customHeight="1">
      <c r="A18" s="2" t="inlineStr">
        <is>
          <t xml:space="preserve">Ваш расчёт</t>
        </is>
      </c>
      <c r="B18" s="2"/>
      <c r="C18" s="2"/>
    </row>
    <row r="19" ht="17" customHeight="1">
      <c r="A19" s="3" t="inlineStr">
        <is>
          <t xml:space="preserve">Режим</t>
        </is>
      </c>
      <c r="B19" s="6" t="str">
        <f>IF('23. Расчёты'!$B$46=1,"Режим выбран верно.","ВНИМАНИЕ: на листе «Мои данные» выбрано «Две группы». Этот критерий для режима «До и После» — результат ниже считается справочно.")</f>
      </c>
    </row>
    <row r="20" ht="17" customHeight="1">
      <c r="A20" s="3" t="inlineStr">
        <is>
          <t xml:space="preserve">Число пар с изменением (n)</t>
        </is>
      </c>
      <c r="B20" s="13">
        <f>'23. Расчёты'!$B$20</f>
      </c>
      <c r="C20" s="10" t="inlineStr">
        <is>
          <t xml:space="preserve">нулевые разности отбрасываются</t>
        </is>
      </c>
    </row>
    <row r="21" ht="17" customHeight="1">
      <c r="A21" s="3" t="inlineStr">
        <is>
          <t xml:space="preserve">Сумма положительных рангов</t>
        </is>
      </c>
      <c r="B21" s="7">
        <f>'23. Расчёты'!$B$41</f>
      </c>
    </row>
    <row r="22" ht="17" customHeight="1">
      <c r="A22" s="3" t="inlineStr">
        <is>
          <t xml:space="preserve">Сумма отрицательных рангов</t>
        </is>
      </c>
      <c r="B22" s="7">
        <f>'23. Расчёты'!$B$42</f>
      </c>
    </row>
    <row r="23" ht="17" customHeight="1">
      <c r="A23" s="3" t="inlineStr">
        <is>
          <t xml:space="preserve">Эмпирическое T (меньшее)</t>
        </is>
      </c>
      <c r="B23" s="7">
        <f>IF('23. Расчёты'!$B$43="","—",'23. Расчёты'!$B$43)</f>
      </c>
    </row>
    <row r="24" ht="17" customHeight="1">
      <c r="A24" s="3" t="inlineStr">
        <is>
          <t xml:space="preserve">z (нормальное приближение)</t>
        </is>
      </c>
      <c r="B24" s="8">
        <f>IF('23. Расчёты'!$B$44="","—",'23. Расчёты'!$B$44)</f>
      </c>
    </row>
    <row r="25" ht="17" customHeight="1">
      <c r="A25" s="3" t="inlineStr">
        <is>
          <t xml:space="preserve">Уровень значимости p</t>
        </is>
      </c>
      <c r="B25" s="8">
        <f>IF('23. Расчёты'!$B$45="","—",'23. Расчёты'!$B$45)</f>
      </c>
    </row>
    <row r="26" ht="17" customHeight="1">
      <c r="A26" s="3" t="inlineStr">
        <is>
          <t xml:space="preserve">Размер эффекта (r)</t>
        </is>
      </c>
      <c r="B26" s="8">
        <f>IF(OR('23. Расчёты'!$B$44="",'23. Расчёты'!$B$20=0),"—",'23. Расчёты'!$B$44/SQRT('23. Расчёты'!$B$20))</f>
      </c>
    </row>
    <row r="27" ht="17" customHeight="1">
      <c r="A27" s="3" t="inlineStr">
        <is>
          <t xml:space="preserve">Направление сдвига</t>
        </is>
      </c>
      <c r="B27" s="6" t="str">
        <f>IF('23. Расчёты'!$B$21="","—",IF('23. Расчёты'!$B$21&lt;0,"преобладает рост показателя","преобладает снижение показателя"))</f>
      </c>
    </row>
    <row r="29" ht="17" customHeight="1">
      <c r="A29" s="2" t="inlineStr">
        <is>
          <t xml:space="preserve">Вывод для диплома</t>
        </is>
      </c>
      <c r="B29" s="2"/>
      <c r="C29" s="2"/>
    </row>
    <row r="30" ht="34" customHeight="1">
      <c r="A30" s="11" t="str">
        <f>IF('23. Расчёты'!$B$45="","Недостаточно данных для расчёта.",IF('23. Расчёты'!$B$45&lt;0.05,"Различия между выборками по показателю «"&amp;Показатель&amp;"» статистически достоверны (T-критерий Вилкоксона, p "&amp;IF('23. Расчёты'!$B$45&lt;0.001,"&lt; 0,001","= "&amp;FIXED('23. Расчёты'!$B$45,3,TRUE))&amp;"). Нулевая гипотеза отвергается.","Статистически достоверных различий по показателю «"&amp;Показатель&amp;"» не выявлено (T-критерий Вилкоксона, p = "&amp;FIXED('23. Расчёты'!$B$45,3,TRUE)&amp;"). Нулевая гипотеза принимается."))</f>
      </c>
      <c r="B30" s="11"/>
      <c r="C30" s="11"/>
    </row>
    <row r="32" ht="17" customHeight="1">
      <c r="A32" s="2" t="inlineStr">
        <is>
          <t xml:space="preserve">Частые ошибки</t>
        </is>
      </c>
      <c r="B32" s="2"/>
      <c r="C32" s="2"/>
    </row>
    <row r="33" ht="17" customHeight="1">
      <c r="A33" s="10" t="inlineStr">
        <is>
          <t xml:space="preserve">Забывают, что нулевые разности выбрасываются, и удивляются, почему n меньше числа людей.</t>
        </is>
      </c>
    </row>
    <row r="34" ht="17" customHeight="1">
      <c r="A34" s="10" t="inlineStr">
        <is>
          <t xml:space="preserve">Применяют к двум независимым группам — там нужен Манна-Уитни.</t>
        </is>
      </c>
    </row>
    <row r="35" ht="17" customHeight="1">
      <c r="A35" s="10" t="inlineStr">
        <is>
          <t xml:space="preserve">Считают, что T должно быть большим. Наоборот: чем меньше T, тем сильнее сдвиг.</t>
        </is>
      </c>
    </row>
    <row r="36" ht="34" customHeight="1">
      <c r="A36" s="10" t="inlineStr">
        <is>
          <t xml:space="preserve">Для маленьких выборок Excel даёт приближённое p. Сравните эмпирическое T с табличным на листе «22. Таблицы значений» — это и есть классический вузовский способ.</t>
        </is>
      </c>
    </row>
  </sheetData>
  <mergeCells count="17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8:C18"/>
    <mergeCell ref="A29:C29"/>
    <mergeCell ref="A30:C30"/>
    <mergeCell ref="A32:C32"/>
    <mergeCell ref="A33:C33"/>
    <mergeCell ref="A34:C34"/>
    <mergeCell ref="A35:C35"/>
    <mergeCell ref="A36:C36"/>
  </mergeCell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7030A0"/>
  </sheetPr>
  <sheetViews>
    <sheetView workbookViewId="0" showGridLines="0"/>
  </sheetViews>
  <sheetFormatPr defaultRowHeight="15"/>
  <cols>
    <col min="1" max="1" width="33.82" customWidth="1"/>
    <col min="2" max="2" width="17.62" customWidth="1"/>
    <col min="3" max="3" width="52.00" customWidth="1"/>
    <col min="4" max="4" width="14.00" customWidth="1"/>
    <col min="5" max="5" width="52.00" customWidth="1"/>
  </cols>
  <sheetData>
    <row r="1" ht="17" customHeight="1">
      <c r="A1" s="1" t="inlineStr">
        <is>
          <t xml:space="preserve">χ² Пирсона (таблица сопряжённости)</t>
        </is>
      </c>
      <c r="B1" s="1"/>
      <c r="C1" s="1"/>
      <c r="D1" s="1"/>
      <c r="E1" s="1"/>
    </row>
    <row r="3" ht="17" customHeight="1">
      <c r="A3" s="10" t="inlineStr">
        <is>
          <t xml:space="preserve">Этот критерий работает не с измерениями, а с количеством людей в категориях: сколько справились и не справились, сколько юношей и девушек.</t>
        </is>
      </c>
    </row>
    <row r="4" ht="17" customHeight="1">
      <c r="A4" s="10" t="inlineStr">
        <is>
          <t xml:space="preserve">Поэтому у него собственная таблица ввода — данные с листа «2. Мои данные» здесь не используются.</t>
        </is>
      </c>
    </row>
    <row r="6" ht="17" customHeight="1">
      <c r="A6" s="2" t="inlineStr">
        <is>
          <t xml:space="preserve">Впишите количество человек</t>
        </is>
      </c>
      <c r="B6" s="2"/>
      <c r="C6" s="2"/>
      <c r="D6" s="2"/>
      <c r="E6" s="2"/>
    </row>
    <row r="7" ht="34" customHeight="1">
      <c r="A7" s="9"/>
      <c r="B7" s="9" t="inlineStr">
        <is>
          <t xml:space="preserve">Признак есть</t>
        </is>
      </c>
      <c r="C7" s="9" t="inlineStr">
        <is>
          <t xml:space="preserve">Признака нет</t>
        </is>
      </c>
      <c r="D7" s="9" t="inlineStr">
        <is>
          <t xml:space="preserve">Всего</t>
        </is>
      </c>
      <c r="E7" s="10" t="inlineStr">
        <is>
          <t xml:space="preserve">Названия групп и признака можно переписать своими словами</t>
        </is>
      </c>
    </row>
    <row r="8" ht="17" customHeight="1">
      <c r="A8" s="4" t="inlineStr">
        <is>
          <t xml:space="preserve">Группа 1</t>
        </is>
      </c>
      <c r="B8" s="5">
        <v>18</v>
      </c>
      <c r="C8" s="5">
        <v>12</v>
      </c>
      <c r="D8" s="13">
        <f>SUM(B8:C8)</f>
      </c>
    </row>
    <row r="9" ht="17" customHeight="1">
      <c r="A9" s="4" t="inlineStr">
        <is>
          <t xml:space="preserve">Группа 2</t>
        </is>
      </c>
      <c r="B9" s="5">
        <v>9</v>
      </c>
      <c r="C9" s="5">
        <v>21</v>
      </c>
      <c r="D9" s="13">
        <f>SUM(B9:C9)</f>
      </c>
    </row>
    <row r="10" ht="17" customHeight="1">
      <c r="A10" s="17" t="inlineStr">
        <is>
          <t xml:space="preserve">Всего</t>
        </is>
      </c>
      <c r="B10" s="17">
        <f>SUM(B8:B9)</f>
      </c>
      <c r="C10" s="17">
        <f>SUM(C8:C9)</f>
      </c>
      <c r="D10" s="17">
        <f>SUM(B8:C9)</f>
      </c>
    </row>
    <row r="12" ht="17" customHeight="1">
      <c r="A12" s="2" t="inlineStr">
        <is>
          <t xml:space="preserve">Ожидаемые частоты (если бы связи не было)</t>
        </is>
      </c>
      <c r="B12" s="2"/>
      <c r="C12" s="2"/>
      <c r="D12" s="2"/>
      <c r="E12" s="2"/>
    </row>
    <row r="13" ht="17" customHeight="1">
      <c r="A13" s="9"/>
      <c r="B13" s="9" t="inlineStr">
        <is>
          <t xml:space="preserve">Признак есть</t>
        </is>
      </c>
      <c r="C13" s="9" t="inlineStr">
        <is>
          <t xml:space="preserve">Признака нет</t>
        </is>
      </c>
      <c r="E13" s="10" t="inlineStr">
        <is>
          <t xml:space="preserve">строка × столбец / общее число</t>
        </is>
      </c>
    </row>
    <row r="14" ht="17" customHeight="1">
      <c r="A14" s="6" t="str">
        <f>A8</f>
      </c>
      <c r="B14" s="7">
        <f>IF($D$10=0,"",$D$8*B$10/$D$10)</f>
      </c>
      <c r="C14" s="7">
        <f>IF($D$10=0,"",$D$8*C$10/$D$10)</f>
      </c>
    </row>
    <row r="15" ht="17" customHeight="1">
      <c r="A15" s="6" t="str">
        <f>A9</f>
      </c>
      <c r="B15" s="7">
        <f>IF($D$10=0,"",$D$9*B$10/$D$10)</f>
      </c>
      <c r="C15" s="7">
        <f>IF($D$10=0,"",$D$9*C$10/$D$10)</f>
      </c>
    </row>
    <row r="17" ht="17" customHeight="1">
      <c r="A17" s="2" t="inlineStr">
        <is>
          <t xml:space="preserve">Ваш расчёт</t>
        </is>
      </c>
      <c r="B17" s="2"/>
      <c r="C17" s="2"/>
      <c r="D17" s="2"/>
      <c r="E17" s="2"/>
    </row>
    <row r="18" ht="17" customHeight="1">
      <c r="A18" s="3" t="inlineStr">
        <is>
          <t xml:space="preserve">Число степеней свободы (df)</t>
        </is>
      </c>
      <c r="B18" s="13">
        <f>1</f>
      </c>
      <c r="C18" s="10" t="inlineStr">
        <is>
          <t xml:space="preserve">для таблицы 2×2 всегда 1</t>
        </is>
      </c>
    </row>
    <row r="19" ht="17" customHeight="1">
      <c r="A19" s="3" t="inlineStr">
        <is>
          <t xml:space="preserve">Минимальная ожидаемая частота</t>
        </is>
      </c>
      <c r="B19" s="7">
        <f>IF($D$10=0,"—",MIN(B14:C15))</f>
      </c>
      <c r="C19" s="10" t="inlineStr">
        <is>
          <t xml:space="preserve">должна быть не меньше 5</t>
        </is>
      </c>
    </row>
    <row r="20" ht="17" customHeight="1">
      <c r="A20" s="3" t="inlineStr">
        <is>
          <t xml:space="preserve">Эмпирическое χ²</t>
        </is>
      </c>
      <c r="B20" s="8">
        <f>IF($D$10=0,"—",SUMPRODUCT((B8:C9-B14:C15)^2/B14:C15))</f>
      </c>
    </row>
    <row r="21" ht="17" customHeight="1">
      <c r="A21" s="3" t="inlineStr">
        <is>
          <t xml:space="preserve">χ² с поправкой Йейтса</t>
        </is>
      </c>
      <c r="B21" s="8">
        <f>IF($D$10=0,"—",SUMPRODUCT((ABS(B8:C9-B14:C15)-0.5)^2/B14:C15))</f>
      </c>
      <c r="C21" s="10" t="inlineStr">
        <is>
          <t xml:space="preserve">для таблиц 2×2 корректнее</t>
        </is>
      </c>
    </row>
    <row r="22" ht="17" customHeight="1">
      <c r="A22" s="3" t="inlineStr">
        <is>
          <t xml:space="preserve">Критическое χ² (α = 0,05)</t>
        </is>
      </c>
      <c r="B22" s="8">
        <f>CHIINV(0.05,1)</f>
      </c>
      <c r="C22" s="10" t="inlineStr">
        <is>
          <t xml:space="preserve">3,841</t>
        </is>
      </c>
    </row>
    <row r="23" ht="17" customHeight="1">
      <c r="A23" s="3" t="inlineStr">
        <is>
          <t xml:space="preserve">Уровень значимости p</t>
        </is>
      </c>
      <c r="B23" s="8">
        <f>IF($D$10=0,"—",CHITEST(B8:C9,B14:C15))</f>
      </c>
    </row>
    <row r="24" ht="17" customHeight="1">
      <c r="A24" s="3" t="inlineStr">
        <is>
          <t xml:space="preserve">Что применять</t>
        </is>
      </c>
      <c r="B24" s="6" t="str">
        <f>IF($D$10=0,"—",IF(MIN(B14:C15)&lt;5,"ожидаемая частота меньше 5 — нужен точный критерий Фишера","χ² применим"))</f>
      </c>
    </row>
    <row r="25" ht="17" customHeight="1">
      <c r="A25" s="3" t="inlineStr">
        <is>
          <t xml:space="preserve">Коэффициент сопряжённости φ</t>
        </is>
      </c>
      <c r="B25" s="8">
        <f>IF($D$10=0,"—",SQRT(SUMPRODUCT((B8:C9-B14:C15)^2/B14:C15)/$D$10))</f>
      </c>
      <c r="C25" s="10" t="inlineStr">
        <is>
          <t xml:space="preserve">размер эффекта: 0,1 малый · 0,3 средний · 0,5 большой</t>
        </is>
      </c>
    </row>
    <row r="27" ht="17" customHeight="1">
      <c r="A27" s="2" t="inlineStr">
        <is>
          <t xml:space="preserve">Вывод для диплома</t>
        </is>
      </c>
      <c r="B27" s="2"/>
      <c r="C27" s="2"/>
      <c r="D27" s="2"/>
      <c r="E27" s="2"/>
    </row>
    <row r="28" ht="17" customHeight="1">
      <c r="A28" s="11" t="str">
        <f>IF($D$10=0,"Заполните таблицу.",IF(CHITEST(B8:C9,B14:C15)&lt;0.05,"Распределение признака в группах различается статистически достоверно (χ² = "&amp;FIXED(SUMPRODUCT((B8:C9-B14:C15)^2/B14:C15),2,TRUE)&amp;", df = 1, p "&amp;IF(CHITEST(B8:C9,B14:C15)&lt;0.001,"&lt; 0,001","= "&amp;FIXED(CHITEST(B8:C9,B14:C15),3,TRUE))&amp;").","Статистически достоверных различий в распределении признака не выявлено (χ² = "&amp;FIXED(SUMPRODUCT((B8:C9-B14:C15)^2/B14:C15),2,TRUE)&amp;", df = 1, p = "&amp;FIXED(CHITEST(B8:C9,B14:C15),3,TRUE)&amp;")."))</f>
      </c>
      <c r="B28" s="11"/>
      <c r="C28" s="11"/>
      <c r="D28" s="11"/>
      <c r="E28" s="11"/>
    </row>
    <row r="30" ht="17" customHeight="1">
      <c r="A30" s="2" t="inlineStr">
        <is>
          <t xml:space="preserve">Частые ошибки</t>
        </is>
      </c>
      <c r="B30" s="2"/>
      <c r="C30" s="2"/>
      <c r="D30" s="2"/>
      <c r="E30" s="2"/>
    </row>
    <row r="31" ht="17" customHeight="1">
      <c r="A31" s="10" t="inlineStr">
        <is>
          <t xml:space="preserve">Вписывают проценты вместо количества людей. χ² работает только с частотами — реальным числом человек.</t>
        </is>
      </c>
    </row>
    <row r="32" ht="17" customHeight="1">
      <c r="A32" s="10" t="inlineStr">
        <is>
          <t xml:space="preserve">Применяют при маленьких ожидаемых частотах. Если хоть одна меньше 5, нужен точный критерий Фишера.</t>
        </is>
      </c>
    </row>
    <row r="33" ht="17" customHeight="1">
      <c r="A33" s="10" t="inlineStr">
        <is>
          <t xml:space="preserve">Считают, что χ² показывает силу связи. Он показывает только её наличие; сила — это φ.</t>
        </is>
      </c>
    </row>
    <row r="34" ht="17" customHeight="1">
      <c r="A34" s="10" t="inlineStr">
        <is>
          <t xml:space="preserve">Один человек должен попадать ровно в одну клетку таблицы, иначе сумма не сойдётся.</t>
        </is>
      </c>
    </row>
  </sheetData>
  <mergeCells count="13">
    <mergeCell ref="A1:E1"/>
    <mergeCell ref="A3:E3"/>
    <mergeCell ref="A4:E4"/>
    <mergeCell ref="A6:E6"/>
    <mergeCell ref="A12:E12"/>
    <mergeCell ref="A17:E17"/>
    <mergeCell ref="A27:E27"/>
    <mergeCell ref="A28:E28"/>
    <mergeCell ref="A30:E30"/>
    <mergeCell ref="A31:E31"/>
    <mergeCell ref="A32:E32"/>
    <mergeCell ref="A33:E33"/>
    <mergeCell ref="A34:E34"/>
  </mergeCell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ED7D31"/>
  </sheetPr>
  <sheetViews>
    <sheetView workbookViewId="0" showGridLines="0"/>
  </sheetViews>
  <sheetFormatPr defaultRowHeight="15"/>
  <cols>
    <col min="1" max="1" width="34.00" customWidth="1"/>
    <col min="2" max="2" width="30.58" customWidth="1"/>
    <col min="3" max="3" width="52.00" customWidth="1"/>
  </cols>
  <sheetData>
    <row r="1" ht="17" customHeight="1">
      <c r="A1" s="1" t="inlineStr">
        <is>
          <t xml:space="preserve">Корреляция Пирсона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17" customHeight="1">
      <c r="A4" s="10" t="inlineStr">
        <is>
          <t xml:space="preserve">Коэффициент корреляции Пирсона показывает, связаны ли два признака: растёт ли один вслед за другим.</t>
        </is>
      </c>
    </row>
    <row r="5" ht="34" customHeight="1">
      <c r="A5" s="10" t="inlineStr">
        <is>
          <t xml:space="preserve">Принимает значения от −1 до +1. Плюс — связь прямая (оба растут), минус — обратная (один растёт, другой падает), около нуля — связи нет.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Оба признака — измерения (не баллы), и оба распределены примерно нормально.</t>
        </is>
      </c>
    </row>
    <row r="9" ht="17" customHeight="1">
      <c r="A9" s="10" t="inlineStr">
        <is>
          <t xml:space="preserve">Связь предполагается линейная. Если на диаграмме рассеяния точки ложатся дугой, Пирсон её не увидит.</t>
        </is>
      </c>
    </row>
    <row r="10" ht="17" customHeight="1">
      <c r="A10" s="10" t="inlineStr">
        <is>
          <t xml:space="preserve">Для баллов теста и рангов применяйте корреляцию Спирмена.</t>
        </is>
      </c>
    </row>
    <row r="11" ht="34" customHeight="1">
      <c r="A11" s="10" t="inlineStr">
        <is>
          <t xml:space="preserve">Важно: этот лист сопоставляет первую и вторую выборку выбранного показателя. Чтобы связать два РАЗНЫХ показателя, впишите их как «до» и «после» одного показателя.</t>
        </is>
      </c>
    </row>
    <row r="13" ht="17" customHeight="1">
      <c r="A13" s="2" t="inlineStr">
        <is>
          <t xml:space="preserve">Какую формулу вбить в Excel</t>
        </is>
      </c>
      <c r="B13" s="2"/>
      <c r="C13" s="2"/>
    </row>
    <row r="14" ht="17" customHeight="1">
      <c r="A14" s="3" t="inlineStr">
        <is>
          <t xml:space="preserve">Коэффициент корреляции</t>
        </is>
      </c>
      <c r="B14" s="12" t="str">
        <f>"=КОРРЕЛ("&amp;"B12:B131"&amp;";"&amp;"C12:C131"&amp;")"</f>
      </c>
    </row>
    <row r="15" ht="17" customHeight="1">
      <c r="A15" s="3" t="inlineStr">
        <is>
          <t xml:space="preserve">Проверка значимости</t>
        </is>
      </c>
      <c r="B15" s="12" t="str">
        <f>"=r*КОРЕНЬ((n-2)/(1-r^2))"</f>
      </c>
      <c r="C15" s="10" t="inlineStr">
        <is>
          <t xml:space="preserve">получится t, сравнить с критическим</t>
        </is>
      </c>
    </row>
    <row r="17" ht="17" customHeight="1">
      <c r="A17" s="2" t="inlineStr">
        <is>
          <t xml:space="preserve">Ваш расчёт</t>
        </is>
      </c>
      <c r="B17" s="2"/>
      <c r="C17" s="2"/>
    </row>
    <row r="18" ht="17" customHeight="1">
      <c r="A18" s="3" t="inlineStr">
        <is>
          <t xml:space="preserve">Число пар (n)</t>
        </is>
      </c>
      <c r="B18" s="13">
        <f>'23. Расчёты'!$B$2</f>
      </c>
    </row>
    <row r="19" ht="17" customHeight="1">
      <c r="A19" s="3" t="inlineStr">
        <is>
          <t xml:space="preserve">Коэффициент r</t>
        </is>
      </c>
      <c r="B19" s="8">
        <f>IF('23. Расчёты'!$B$53="","—",'23. Расчёты'!$B$53)</f>
      </c>
    </row>
    <row r="20" ht="17" customHeight="1">
      <c r="A20" s="3" t="inlineStr">
        <is>
          <t xml:space="preserve">Сила связи (шкала Чеддока)</t>
        </is>
      </c>
      <c r="B20" s="6" t="str">
        <f>IF('23. Расчёты'!$B$53="","—",IF(ABS('23. Расчёты'!$B$53)&lt;0.1,"связи практически нет",IF(ABS('23. Расчёты'!$B$53)&lt;0.3,"слабая",IF(ABS('23. Расчёты'!$B$53)&lt;0.5,"умеренная",IF(ABS('23. Расчёты'!$B$53)&lt;0.7,"заметная",IF(ABS('23. Расчёты'!$B$53)&lt;0.9,"высокая","весьма высокая"))))))</f>
      </c>
    </row>
    <row r="21" ht="17" customHeight="1">
      <c r="A21" s="3" t="inlineStr">
        <is>
          <t xml:space="preserve">Направление</t>
        </is>
      </c>
      <c r="B21" s="6" t="str">
        <f>IF('23. Расчёты'!$B$53="","—",IF('23. Расчёты'!$B$53&lt;0,"обратная","прямая"))</f>
      </c>
    </row>
    <row r="22" ht="17" customHeight="1">
      <c r="A22" s="3" t="inlineStr">
        <is>
          <t xml:space="preserve">Коэффициент детерминации r²</t>
        </is>
      </c>
      <c r="B22" s="8">
        <f>IF('23. Расчёты'!$B$53="","—",'23. Расчёты'!$B$53^2)</f>
      </c>
      <c r="C22" s="10" t="inlineStr">
        <is>
          <t xml:space="preserve">какую долю разброса объясняет связь</t>
        </is>
      </c>
    </row>
    <row r="23" ht="17" customHeight="1">
      <c r="A23" s="3" t="inlineStr">
        <is>
          <t xml:space="preserve">Эмпирическое t</t>
        </is>
      </c>
      <c r="B23" s="8">
        <f>IF(OR('23. Расчёты'!$B$53="",'23. Расчёты'!$B$2&lt;3,ABS('23. Расчёты'!$B$53)&gt;=1),"—",'23. Расчёты'!$B$53*SQRT(('23. Расчёты'!$B$2-2)/(1-'23. Расчёты'!$B$53^2)))</f>
      </c>
    </row>
    <row r="24" ht="17" customHeight="1">
      <c r="A24" s="3" t="inlineStr">
        <is>
          <t xml:space="preserve">Критическое t</t>
        </is>
      </c>
      <c r="B24" s="8">
        <f>IF('23. Расчёты'!$B$2&lt;3,"—",TINV(0.05,'23. Расчёты'!$B$2-2))</f>
      </c>
    </row>
    <row r="25" ht="17" customHeight="1">
      <c r="A25" s="3" t="inlineStr">
        <is>
          <t xml:space="preserve">Уровень значимости p</t>
        </is>
      </c>
      <c r="B25" s="8">
        <f>IF(OR('23. Расчёты'!$B$53="",'23. Расчёты'!$B$2&lt;3,ABS('23. Расчёты'!$B$53)&gt;=1),"—",IFERROR(TDIST(ABS('23. Расчёты'!$B$53)*SQRT(('23. Расчёты'!$B$2-2)/(1-'23. Расчёты'!$B$53^2)),'23. Расчёты'!$B$2-2,2),"—"))</f>
      </c>
    </row>
    <row r="27" ht="17" customHeight="1">
      <c r="A27" s="2" t="inlineStr">
        <is>
          <t xml:space="preserve">Вывод для диплома</t>
        </is>
      </c>
      <c r="B27" s="2"/>
      <c r="C27" s="2"/>
    </row>
    <row r="28" ht="34" customHeight="1">
      <c r="A28" s="11" t="str">
        <f>IF('23. Расчёты'!$B$53="","Недостаточно данных для расчёта.","Между выборками по показателю «"&amp;Показатель&amp;"» выявлена "&amp;IF('23. Расчёты'!$B$53="","—",IF(ABS('23. Расчёты'!$B$53)&lt;0.1,"связи практически нет",IF(ABS('23. Расчёты'!$B$53)&lt;0.3,"слабая",IF(ABS('23. Расчёты'!$B$53)&lt;0.5,"умеренная",IF(ABS('23. Расчёты'!$B$53)&lt;0.7,"заметная",IF(ABS('23. Расчёты'!$B$53)&lt;0.9,"высокая","весьма высокая"))))))&amp;" "&amp;IF('23. Расчёты'!$B$53&lt;0,"обратная","прямая")&amp;" связь (r = "&amp;FIXED('23. Расчёты'!$B$53,3,TRUE)&amp;")"&amp;IF(IF(OR('23. Расчёты'!$B$53="",'23. Расчёты'!$B$2&lt;3,ABS('23. Расчёты'!$B$53)&gt;=1),"—",IFERROR(TDIST(ABS('23. Расчёты'!$B$53)*SQRT(('23. Расчёты'!$B$2-2)/(1-'23. Расчёты'!$B$53^2)),'23. Расчёты'!$B$2-2,2),"—"))="","",IF(IF(OR('23. Расчёты'!$B$53="",'23. Расчёты'!$B$2&lt;3,ABS('23. Расчёты'!$B$53)&gt;=1),"—",IFERROR(TDIST(ABS('23. Расчёты'!$B$53)*SQRT(('23. Расчёты'!$B$2-2)/(1-'23. Расчёты'!$B$53^2)),'23. Расчёты'!$B$2-2,2),"—"))&lt;0.05," — связь статистически значима (p "&amp;IF(IF(OR('23. Расчёты'!$B$53="",'23. Расчёты'!$B$2&lt;3,ABS('23. Расчёты'!$B$53)&gt;=1),"—",IFERROR(TDIST(ABS('23. Расчёты'!$B$53)*SQRT(('23. Расчёты'!$B$2-2)/(1-'23. Расчёты'!$B$53^2)),'23. Расчёты'!$B$2-2,2),"—"))&lt;0.001,"&lt; 0,001","= "&amp;FIXED(IF(OR('23. Расчёты'!$B$53="",'23. Расчёты'!$B$2&lt;3,ABS('23. Расчёты'!$B$53)&gt;=1),"—",IFERROR(TDIST(ABS('23. Расчёты'!$B$53)*SQRT(('23. Расчёты'!$B$2-2)/(1-'23. Расчёты'!$B$53^2)),'23. Расчёты'!$B$2-2,2),"—")),3,TRUE))&amp;").","; статистическая значимость не достигнута (p = "&amp;FIXED(IF(OR('23. Расчёты'!$B$53="",'23. Расчёты'!$B$2&lt;3,ABS('23. Расчёты'!$B$53)&gt;=1),"—",IFERROR(TDIST(ABS('23. Расчёты'!$B$53)*SQRT(('23. Расчёты'!$B$2-2)/(1-'23. Расчёты'!$B$53^2)),'23. Расчёты'!$B$2-2,2),"—")),3,TRUE)&amp;")."))&amp;"")</f>
      </c>
      <c r="B28" s="11"/>
      <c r="C28" s="11"/>
    </row>
    <row r="30" ht="17" customHeight="1">
      <c r="A30" s="2" t="inlineStr">
        <is>
          <t xml:space="preserve">Частые ошибки</t>
        </is>
      </c>
      <c r="B30" s="2"/>
      <c r="C30" s="2"/>
    </row>
    <row r="31" ht="34" customHeight="1">
      <c r="A31" s="10" t="inlineStr">
        <is>
          <t xml:space="preserve">Считают, что корреляция доказывает причину. Она показывает только совместное изменение: рост мороженого и утоплений связаны, но одно не вызывает другое.</t>
        </is>
      </c>
    </row>
    <row r="32" ht="17" customHeight="1">
      <c r="A32" s="10" t="inlineStr">
        <is>
          <t xml:space="preserve">Применяют к баллам опросника — нужен Спирмен.</t>
        </is>
      </c>
    </row>
    <row r="33" ht="17" customHeight="1">
      <c r="A33" s="10" t="inlineStr">
        <is>
          <t xml:space="preserve">Не смотрят на диаграмму рассеяния. Один выброс способен создать «сильную связь» на ровном месте.</t>
        </is>
      </c>
    </row>
    <row r="34" ht="17" customHeight="1">
      <c r="A34" s="10" t="inlineStr">
        <is>
          <t xml:space="preserve">Считают корреляцию на 5–7 испытуемых. Нужно хотя бы 20–30, иначе результат случаен.</t>
        </is>
      </c>
    </row>
  </sheetData>
  <mergeCells count="18">
    <mergeCell ref="A1:C1"/>
    <mergeCell ref="A3:C3"/>
    <mergeCell ref="A4:C4"/>
    <mergeCell ref="A5:C5"/>
    <mergeCell ref="A7:C7"/>
    <mergeCell ref="A8:C8"/>
    <mergeCell ref="A9:C9"/>
    <mergeCell ref="A10:C10"/>
    <mergeCell ref="A11:C11"/>
    <mergeCell ref="A13:C13"/>
    <mergeCell ref="A17:C17"/>
    <mergeCell ref="A27:C27"/>
    <mergeCell ref="A28:C28"/>
    <mergeCell ref="A30:C30"/>
    <mergeCell ref="A31:C31"/>
    <mergeCell ref="A32:C32"/>
    <mergeCell ref="A33:C33"/>
    <mergeCell ref="A34:C34"/>
  </mergeCell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ED7D31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Корреляция Спирмена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17" customHeight="1">
      <c r="A4" s="10" t="inlineStr">
        <is>
          <t xml:space="preserve">Ранговая корреляция Спирмена — та же идея, что у Пирсона, но работает не с самими значениями, а с их местами в ряду (рангами).</t>
        </is>
      </c>
    </row>
    <row r="5" ht="17" customHeight="1">
      <c r="A5" s="10" t="inlineStr">
        <is>
          <t xml:space="preserve">Поэтому она не боится ненормального распределения и выбросов, и подходит для баллов, уровней и рангов.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Данные в баллах, уровнях, рангах — порядковая шкала.</t>
        </is>
      </c>
    </row>
    <row r="9" ht="17" customHeight="1">
      <c r="A9" s="10" t="inlineStr">
        <is>
          <t xml:space="preserve">Или измерения, но распределение далеко от нормального либо есть выбросы.</t>
        </is>
      </c>
    </row>
    <row r="10" ht="17" customHeight="1">
      <c r="A10" s="10" t="inlineStr">
        <is>
          <t xml:space="preserve">Связь может быть не строго линейной, но монотонной — растёт или падает.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34" customHeight="1">
      <c r="A13" s="3" t="inlineStr">
        <is>
          <t xml:space="preserve">Ранги значений</t>
        </is>
      </c>
      <c r="B13" s="12" t="str">
        <f>"=РАНГ(значение;диапазон;1)+(СЧЁТЕСЛИ(диапазон;значение)-1)/2"</f>
      </c>
    </row>
    <row r="14" ht="17" customHeight="1">
      <c r="A14" s="3" t="inlineStr">
        <is>
          <t xml:space="preserve">Коэффициент</t>
        </is>
      </c>
      <c r="B14" s="12" t="str">
        <f>"=КОРРЕЛ(ранги первого;ранги второго)"</f>
      </c>
    </row>
    <row r="16" ht="17" customHeight="1">
      <c r="A16" s="2" t="inlineStr">
        <is>
          <t xml:space="preserve">Ваш расчёт</t>
        </is>
      </c>
      <c r="B16" s="2"/>
      <c r="C16" s="2"/>
    </row>
    <row r="17" ht="17" customHeight="1">
      <c r="A17" s="3" t="inlineStr">
        <is>
          <t xml:space="preserve">Число пар (n)</t>
        </is>
      </c>
      <c r="B17" s="13">
        <f>'23. Расчёты'!$B$2</f>
      </c>
    </row>
    <row r="18" ht="17" customHeight="1">
      <c r="A18" s="3" t="inlineStr">
        <is>
          <t xml:space="preserve">Коэффициент rs</t>
        </is>
      </c>
      <c r="B18" s="8">
        <f>IF('23. Расчёты'!$B$54="","—",'23. Расчёты'!$B$54)</f>
      </c>
    </row>
    <row r="19" ht="17" customHeight="1">
      <c r="A19" s="3" t="inlineStr">
        <is>
          <t xml:space="preserve">Сила связи (шкала Чеддока)</t>
        </is>
      </c>
      <c r="B19" s="6" t="str">
        <f>IF('23. Расчёты'!$B$54="","—",IF(ABS('23. Расчёты'!$B$54)&lt;0.1,"связи практически нет",IF(ABS('23. Расчёты'!$B$54)&lt;0.3,"слабая",IF(ABS('23. Расчёты'!$B$54)&lt;0.5,"умеренная",IF(ABS('23. Расчёты'!$B$54)&lt;0.7,"заметная",IF(ABS('23. Расчёты'!$B$54)&lt;0.9,"высокая","весьма высокая"))))))</f>
      </c>
    </row>
    <row r="20" ht="17" customHeight="1">
      <c r="A20" s="3" t="inlineStr">
        <is>
          <t xml:space="preserve">Направление</t>
        </is>
      </c>
      <c r="B20" s="6" t="str">
        <f>IF('23. Расчёты'!$B$54="","—",IF('23. Расчёты'!$B$54&lt;0,"обратная","прямая"))</f>
      </c>
    </row>
    <row r="21" ht="17" customHeight="1">
      <c r="A21" s="3" t="inlineStr">
        <is>
          <t xml:space="preserve">Эмпирическое t</t>
        </is>
      </c>
      <c r="B21" s="8">
        <f>IF(OR('23. Расчёты'!$B$54="",'23. Расчёты'!$B$2&lt;3,ABS('23. Расчёты'!$B$54)&gt;=1),"—",'23. Расчёты'!$B$54*SQRT(('23. Расчёты'!$B$2-2)/(1-'23. Расчёты'!$B$54^2)))</f>
      </c>
    </row>
    <row r="22" ht="17" customHeight="1">
      <c r="A22" s="3" t="inlineStr">
        <is>
          <t xml:space="preserve">Критическое t</t>
        </is>
      </c>
      <c r="B22" s="8">
        <f>IF('23. Расчёты'!$B$2&lt;3,"—",TINV(0.05,'23. Расчёты'!$B$2-2))</f>
      </c>
    </row>
    <row r="23" ht="17" customHeight="1">
      <c r="A23" s="3" t="inlineStr">
        <is>
          <t xml:space="preserve">Уровень значимости p</t>
        </is>
      </c>
      <c r="B23" s="8">
        <f>IF(OR('23. Расчёты'!$B$54="",'23. Расчёты'!$B$2&lt;3,ABS('23. Расчёты'!$B$54)&gt;=1),"—",IFERROR(TDIST(ABS('23. Расчёты'!$B$54)*SQRT(('23. Расчёты'!$B$2-2)/(1-'23. Расчёты'!$B$54^2)),'23. Расчёты'!$B$2-2,2),"—"))</f>
      </c>
    </row>
    <row r="24" ht="17" customHeight="1">
      <c r="A24" s="3" t="inlineStr">
        <is>
          <t xml:space="preserve">Для сравнения: r Пирсона</t>
        </is>
      </c>
      <c r="B24" s="8">
        <f>IF('23. Расчёты'!$B$53="","—",'23. Расчёты'!$B$53)</f>
      </c>
      <c r="C24" s="10" t="inlineStr">
        <is>
          <t xml:space="preserve">сильно разошлись — значит есть выбросы</t>
        </is>
      </c>
    </row>
    <row r="26" ht="17" customHeight="1">
      <c r="A26" s="2" t="inlineStr">
        <is>
          <t xml:space="preserve">Вывод для диплома</t>
        </is>
      </c>
      <c r="B26" s="2"/>
      <c r="C26" s="2"/>
    </row>
    <row r="27" ht="34" customHeight="1">
      <c r="A27" s="11" t="str">
        <f>IF('23. Расчёты'!$B$54="","Недостаточно данных для расчёта.","Между выборками по показателю «"&amp;Показатель&amp;"» выявлена "&amp;IF('23. Расчёты'!$B$54="","—",IF(ABS('23. Расчёты'!$B$54)&lt;0.1,"связи практически нет",IF(ABS('23. Расчёты'!$B$54)&lt;0.3,"слабая",IF(ABS('23. Расчёты'!$B$54)&lt;0.5,"умеренная",IF(ABS('23. Расчёты'!$B$54)&lt;0.7,"заметная",IF(ABS('23. Расчёты'!$B$54)&lt;0.9,"высокая","весьма высокая"))))))&amp;" "&amp;IF('23. Расчёты'!$B$54&lt;0,"обратная","прямая")&amp;" связь (rs = "&amp;FIXED('23. Расчёты'!$B$54,3,TRUE)&amp;")"&amp;IF(IF(OR('23. Расчёты'!$B$54="",'23. Расчёты'!$B$2&lt;3,ABS('23. Расчёты'!$B$54)&gt;=1),"—",IFERROR(TDIST(ABS('23. Расчёты'!$B$54)*SQRT(('23. Расчёты'!$B$2-2)/(1-'23. Расчёты'!$B$54^2)),'23. Расчёты'!$B$2-2,2),"—"))="","",IF(IF(OR('23. Расчёты'!$B$54="",'23. Расчёты'!$B$2&lt;3,ABS('23. Расчёты'!$B$54)&gt;=1),"—",IFERROR(TDIST(ABS('23. Расчёты'!$B$54)*SQRT(('23. Расчёты'!$B$2-2)/(1-'23. Расчёты'!$B$54^2)),'23. Расчёты'!$B$2-2,2),"—"))&lt;0.05," — связь статистически значима (p "&amp;IF(IF(OR('23. Расчёты'!$B$54="",'23. Расчёты'!$B$2&lt;3,ABS('23. Расчёты'!$B$54)&gt;=1),"—",IFERROR(TDIST(ABS('23. Расчёты'!$B$54)*SQRT(('23. Расчёты'!$B$2-2)/(1-'23. Расчёты'!$B$54^2)),'23. Расчёты'!$B$2-2,2),"—"))&lt;0.001,"&lt; 0,001","= "&amp;FIXED(IF(OR('23. Расчёты'!$B$54="",'23. Расчёты'!$B$2&lt;3,ABS('23. Расчёты'!$B$54)&gt;=1),"—",IFERROR(TDIST(ABS('23. Расчёты'!$B$54)*SQRT(('23. Расчёты'!$B$2-2)/(1-'23. Расчёты'!$B$54^2)),'23. Расчёты'!$B$2-2,2),"—")),3,TRUE))&amp;").","; статистическая значимость не достигнута (p = "&amp;FIXED(IF(OR('23. Расчёты'!$B$54="",'23. Расчёты'!$B$2&lt;3,ABS('23. Расчёты'!$B$54)&gt;=1),"—",IFERROR(TDIST(ABS('23. Расчёты'!$B$54)*SQRT(('23. Расчёты'!$B$2-2)/(1-'23. Расчёты'!$B$54^2)),'23. Расчёты'!$B$2-2,2),"—")),3,TRUE)&amp;")."))&amp;"")</f>
      </c>
      <c r="B27" s="11"/>
      <c r="C27" s="11"/>
    </row>
    <row r="29" ht="17" customHeight="1">
      <c r="A29" s="2" t="inlineStr">
        <is>
          <t xml:space="preserve">Частые ошибки</t>
        </is>
      </c>
      <c r="B29" s="2"/>
      <c r="C29" s="2"/>
    </row>
    <row r="30" ht="17" customHeight="1">
      <c r="A30" s="10" t="inlineStr">
        <is>
          <t xml:space="preserve">Ранжируют вручную и ошибаются на совпадающих значениях: им положен средний ранг, а не подряд идущие.</t>
        </is>
      </c>
    </row>
    <row r="31" ht="17" customHeight="1">
      <c r="A31" s="10" t="inlineStr">
        <is>
          <t xml:space="preserve">Считают, что Спирмен «слабее» Пирсона. На порядковых данных он как раз корректнее.</t>
        </is>
      </c>
    </row>
    <row r="32" ht="17" customHeight="1">
      <c r="A32" s="10" t="inlineStr">
        <is>
          <t xml:space="preserve">Сравнивают rs между исследованиями с разным числом испытуемых без учёта значимости.</t>
        </is>
      </c>
    </row>
  </sheetData>
  <mergeCells count="16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6:C16"/>
    <mergeCell ref="A26:C26"/>
    <mergeCell ref="A27:C27"/>
    <mergeCell ref="A29:C29"/>
    <mergeCell ref="A30:C30"/>
    <mergeCell ref="A31:C31"/>
    <mergeCell ref="A32:C32"/>
  </mergeCell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ED7D31"/>
  </sheetPr>
  <sheetViews>
    <sheetView workbookViewId="0" showGridLines="0"/>
  </sheetViews>
  <sheetFormatPr defaultRowHeight="15"/>
  <cols>
    <col min="1" max="1" width="39.22" customWidth="1"/>
    <col min="2" max="2" width="52.00" customWidth="1"/>
    <col min="3" max="3" width="62.00" customWidth="1"/>
  </cols>
  <sheetData>
    <row r="1" ht="17" customHeight="1">
      <c r="A1" s="1" t="inlineStr">
        <is>
          <t xml:space="preserve">Прирост и темп прироста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Прирост — насколько изменился показатель после эксперимента. Абсолютный прирост в единицах измерения, относительный — в процентах.</t>
        </is>
      </c>
    </row>
    <row r="5" ht="34" customHeight="1">
      <c r="A5" s="10" t="inlineStr">
        <is>
          <t xml:space="preserve">Темп прироста по формуле Броди используют в работах по физической культуре: он корректнее обычного процента, когда исходное и конечное значения сильно различаются.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Режим «До и После» — когда есть два замера у одних и тех же людей.</t>
        </is>
      </c>
    </row>
    <row r="9" ht="34" customHeight="1">
      <c r="A9" s="10" t="inlineStr">
        <is>
          <t xml:space="preserve">Прирост показывает величину изменения, но не его достоверность. Достоверность даёт критерий — Стьюдента или Вилкоксона.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Абсолютный прирост</t>
        </is>
      </c>
      <c r="B12" s="12" t="str">
        <f>"=среднее после - среднее до"</f>
      </c>
    </row>
    <row r="13" ht="17" customHeight="1">
      <c r="A13" s="3" t="inlineStr">
        <is>
          <t xml:space="preserve">Относительный прирост, %</t>
        </is>
      </c>
      <c r="B13" s="12" t="str">
        <f>"=(после-до)/до*100"</f>
      </c>
    </row>
    <row r="14" ht="17" customHeight="1">
      <c r="A14" s="3" t="inlineStr">
        <is>
          <t xml:space="preserve">Темп прироста по Броди, %</t>
        </is>
      </c>
      <c r="B14" s="12" t="str">
        <f>"=100*(после-до)/(0,5*(после+до))"</f>
      </c>
    </row>
    <row r="16" ht="17" customHeight="1">
      <c r="A16" s="2" t="inlineStr">
        <is>
          <t xml:space="preserve">Ваш расчёт</t>
        </is>
      </c>
      <c r="B16" s="2"/>
      <c r="C16" s="2"/>
    </row>
    <row r="17" ht="17" customHeight="1">
      <c r="A17" s="3" t="inlineStr">
        <is>
          <t xml:space="preserve">Режим</t>
        </is>
      </c>
      <c r="B17" s="6" t="str">
        <f>IF('23. Расчёты'!$B$46=1,"Режим «До и После» — прирост считается корректно.","ВНИМАНИЕ: выбран режим «Две группы». Прирост имеет смысл только для повторных замеров.")</f>
      </c>
    </row>
    <row r="18" ht="17" customHeight="1">
      <c r="A18" s="3" t="inlineStr">
        <is>
          <t xml:space="preserve">Среднее «до»</t>
        </is>
      </c>
      <c r="B18" s="7">
        <f>IF('23. Расчёты'!$B$4="","—",'23. Расчёты'!$B$4)</f>
      </c>
    </row>
    <row r="19" ht="17" customHeight="1">
      <c r="A19" s="3" t="inlineStr">
        <is>
          <t xml:space="preserve">Среднее «после»</t>
        </is>
      </c>
      <c r="B19" s="7">
        <f>IF('23. Расчёты'!$B$5="","—",'23. Расчёты'!$B$5)</f>
      </c>
    </row>
    <row r="20" ht="17" customHeight="1">
      <c r="A20" s="3" t="inlineStr">
        <is>
          <t xml:space="preserve">Абсолютный прирост</t>
        </is>
      </c>
      <c r="B20" s="7">
        <f>IF('23. Расчёты'!$B$55="","—",'23. Расчёты'!$B$55)</f>
      </c>
    </row>
    <row r="21" ht="17" customHeight="1">
      <c r="A21" s="3" t="inlineStr">
        <is>
          <t xml:space="preserve">Относительный прирост, %</t>
        </is>
      </c>
      <c r="B21" s="7">
        <f>IF('23. Расчёты'!$B$56="","—",'23. Расчёты'!$B$56*100)</f>
      </c>
    </row>
    <row r="22" ht="17" customHeight="1">
      <c r="A22" s="3" t="inlineStr">
        <is>
          <t xml:space="preserve">Темп прироста по Броди, %</t>
        </is>
      </c>
      <c r="B22" s="7">
        <f>IF(OR('23. Расчёты'!$B$4="",'23. Расчёты'!$B$5="",'23. Расчёты'!$B$4+'23. Расчёты'!$B$5=0),"—",100*('23. Расчёты'!$B$5-'23. Расчёты'!$B$4)/(0.5*('23. Расчёты'!$B$4+'23. Расчёты'!$B$5)))</f>
      </c>
    </row>
    <row r="23" ht="17" customHeight="1">
      <c r="A23" s="3" t="inlineStr">
        <is>
          <t xml:space="preserve">Сколько человек улучшили результат</t>
        </is>
      </c>
      <c r="B23" s="13">
        <f>IF('23. Расчёты'!$B$20=0,"—",'23. Расчёты'!$B$41*0+SUMPRODUCT((Выборка1&lt;&gt;"")*(Выборка2&lt;&gt;"")*(Выборка2&gt;Выборка1)))</f>
      </c>
    </row>
    <row r="24" ht="17" customHeight="1">
      <c r="A24" s="3" t="inlineStr">
        <is>
          <t xml:space="preserve">Сколько ухудшили</t>
        </is>
      </c>
      <c r="B24" s="13">
        <f>IF('23. Расчёты'!$B$20=0,"—",SUMPRODUCT((Выборка1&lt;&gt;"")*(Выборка2&lt;&gt;"")*(Выборка2&lt;Выборка1)))</f>
      </c>
    </row>
    <row r="25" ht="17" customHeight="1">
      <c r="A25" s="3" t="inlineStr">
        <is>
          <t xml:space="preserve">Без изменений</t>
        </is>
      </c>
      <c r="B25" s="13">
        <f>IF('23. Расчёты'!$B$20=0,"—",SUMPRODUCT((Выборка1&lt;&gt;"")*(Выборка2&lt;&gt;"")*(Выборка2=Выборка1)))</f>
      </c>
    </row>
    <row r="27" ht="17" customHeight="1">
      <c r="A27" s="2" t="inlineStr">
        <is>
          <t xml:space="preserve">Вывод для диплома</t>
        </is>
      </c>
      <c r="B27" s="2"/>
      <c r="C27" s="2"/>
    </row>
    <row r="28" ht="34" customHeight="1">
      <c r="A28" s="11" t="str">
        <f>IF('23. Расчёты'!$B$55="","Заполните оба замера на листе «Мои данные».","Показатель «"&amp;Показатель&amp;"» изменился с "&amp;FIXED('23. Расчёты'!$B$4,2,TRUE)&amp;" до "&amp;FIXED('23. Расчёты'!$B$5,2,TRUE)&amp;" "&amp;Единицы&amp;". Абсолютный прирост составил "&amp;IF('23. Расчёты'!$B$55&gt;0,"+","")&amp;FIXED('23. Расчёты'!$B$55,2,TRUE)&amp;" "&amp;Единицы&amp;IF('23. Расчёты'!$B$56="",""," ("&amp;FIXED('23. Расчёты'!$B$56*100,1,TRUE)&amp;"%)")&amp;".")</f>
      </c>
      <c r="B28" s="11"/>
      <c r="C28" s="11"/>
    </row>
    <row r="30" ht="17" customHeight="1">
      <c r="A30" s="2" t="inlineStr">
        <is>
          <t xml:space="preserve">Частые ошибки</t>
        </is>
      </c>
      <c r="B30" s="2"/>
      <c r="C30" s="2"/>
    </row>
    <row r="31" ht="34" customHeight="1">
      <c r="A31" s="10" t="inlineStr">
        <is>
          <t xml:space="preserve">Пишут «результат вырос на 15%» и считают это доказательством. Прирост без критерия достоверности ничего не доказывает.</t>
        </is>
      </c>
    </row>
    <row r="32" ht="17" customHeight="1">
      <c r="A32" s="10" t="inlineStr">
        <is>
          <t xml:space="preserve">Считают процент прироста от конечного значения вместо исходного.</t>
        </is>
      </c>
    </row>
    <row r="33" ht="34" customHeight="1">
      <c r="A33" s="10" t="inlineStr">
        <is>
          <t xml:space="preserve">Для показателей «чем меньше, тем лучше» (время бега, тревожность) забывают, что снижение — это улучшение.</t>
        </is>
      </c>
    </row>
  </sheetData>
  <mergeCells count="15">
    <mergeCell ref="A1:C1"/>
    <mergeCell ref="A3:C3"/>
    <mergeCell ref="A4:C4"/>
    <mergeCell ref="A5:C5"/>
    <mergeCell ref="A7:C7"/>
    <mergeCell ref="A8:C8"/>
    <mergeCell ref="A9:C9"/>
    <mergeCell ref="A11:C11"/>
    <mergeCell ref="A16:C16"/>
    <mergeCell ref="A27:C27"/>
    <mergeCell ref="A28:C28"/>
    <mergeCell ref="A30:C30"/>
    <mergeCell ref="A31:C31"/>
    <mergeCell ref="A32:C32"/>
    <mergeCell ref="A33:C33"/>
  </mergeCell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ED7D31"/>
  </sheetPr>
  <sheetViews>
    <sheetView workbookViewId="0" showGridLines="0"/>
  </sheetViews>
  <sheetFormatPr defaultRowHeight="15"/>
  <cols>
    <col min="1" max="1" width="34.00" customWidth="1"/>
    <col min="2" max="2" width="32.74" customWidth="1"/>
    <col min="3" max="3" width="52.00" customWidth="1"/>
  </cols>
  <sheetData>
    <row r="1" ht="17" customHeight="1">
      <c r="A1" s="1" t="inlineStr">
        <is>
          <t xml:space="preserve">Линейная регрессия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Регрессия строит уравнение, по которому можно предсказать один показатель, зная другой: y = a + b·x.</t>
        </is>
      </c>
    </row>
    <row r="5" ht="34" customHeight="1">
      <c r="A5" s="10" t="inlineStr">
        <is>
          <t xml:space="preserve">Коэффициент b показывает, на сколько изменится y при увеличении x на единицу. R² показывает, какую долю разброса объясняет уравнение.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Оба признака — измерения, связь линейная и достаточно тесная (проверьте корреляцию).</t>
        </is>
      </c>
    </row>
    <row r="9" ht="17" customHeight="1">
      <c r="A9" s="10" t="inlineStr">
        <is>
          <t xml:space="preserve">Нужно не просто констатировать связь, а предсказывать значение.</t>
        </is>
      </c>
    </row>
    <row r="10" ht="17" customHeight="1">
      <c r="A10" s="10" t="inlineStr">
        <is>
          <t xml:space="preserve">Здесь x — первая выборка показателя, y — вторая.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17" customHeight="1">
      <c r="A13" s="3" t="inlineStr">
        <is>
          <t xml:space="preserve">Коэффициент наклона (b)</t>
        </is>
      </c>
      <c r="B13" s="12" t="str">
        <f>"=НАКЛОН("&amp;"C12:C131"&amp;";"&amp;"B12:B131"&amp;")"</f>
      </c>
      <c r="C13" s="10" t="inlineStr">
        <is>
          <t xml:space="preserve">сначала y, потом x</t>
        </is>
      </c>
    </row>
    <row r="14" ht="17" customHeight="1">
      <c r="A14" s="3" t="inlineStr">
        <is>
          <t xml:space="preserve">Свободный член (a)</t>
        </is>
      </c>
      <c r="B14" s="12" t="str">
        <f>"=ОТРЕЗОК("&amp;"C12:C131"&amp;";"&amp;"B12:B131"&amp;")"</f>
      </c>
    </row>
    <row r="15" ht="17" customHeight="1">
      <c r="A15" s="3" t="inlineStr">
        <is>
          <t xml:space="preserve">Коэффициент детерминации</t>
        </is>
      </c>
      <c r="B15" s="12" t="str">
        <f>"=КВПИРСОН("&amp;"C12:C131"&amp;";"&amp;"B12:B131"&amp;")"</f>
      </c>
    </row>
    <row r="17" ht="17" customHeight="1">
      <c r="A17" s="2" t="inlineStr">
        <is>
          <t xml:space="preserve">Ваш расчёт</t>
        </is>
      </c>
      <c r="B17" s="2"/>
      <c r="C17" s="2"/>
    </row>
    <row r="18" ht="17" customHeight="1">
      <c r="A18" s="3" t="inlineStr">
        <is>
          <t xml:space="preserve">Число пар (n)</t>
        </is>
      </c>
      <c r="B18" s="13">
        <f>'23. Расчёты'!$B$2</f>
      </c>
    </row>
    <row r="19" ht="17" customHeight="1">
      <c r="A19" s="3" t="inlineStr">
        <is>
          <t xml:space="preserve">Коэффициент наклона (b)</t>
        </is>
      </c>
      <c r="B19" s="8">
        <f>IF('23. Расчёты'!$B$2&lt;3,"—",IFERROR(SLOPE(Выборка2,Выборка1),"—"))</f>
      </c>
    </row>
    <row r="20" ht="17" customHeight="1">
      <c r="A20" s="3" t="inlineStr">
        <is>
          <t xml:space="preserve">Свободный член (a)</t>
        </is>
      </c>
      <c r="B20" s="8">
        <f>IF('23. Расчёты'!$B$2&lt;3,"—",IFERROR(INTERCEPT(Выборка2,Выборка1),"—"))</f>
      </c>
    </row>
    <row r="21" ht="17" customHeight="1">
      <c r="A21" s="3" t="inlineStr">
        <is>
          <t xml:space="preserve">Уравнение регрессии</t>
        </is>
      </c>
      <c r="B21" s="6" t="str">
        <f>IF('23. Расчёты'!$B$2&lt;3,"—","y = "&amp;FIXED(IFERROR(INTERCEPT(Выборка2,Выборка1),0),2,TRUE)&amp;IF(IFERROR(SLOPE(Выборка2,Выборка1),0)&lt;0," - "," + ")&amp;FIXED(ABS(IFERROR(SLOPE(Выборка2,Выборка1),0)),2,TRUE)&amp;" * x")</f>
      </c>
    </row>
    <row r="22" ht="17" customHeight="1">
      <c r="A22" s="3" t="inlineStr">
        <is>
          <t xml:space="preserve">Коэффициент детерминации R²</t>
        </is>
      </c>
      <c r="B22" s="8">
        <f>IF('23. Расчёты'!$B$2&lt;3,"—",IFERROR(RSQ(Выборка2,Выборка1),"—"))</f>
      </c>
    </row>
    <row r="23" ht="17" customHeight="1">
      <c r="A23" s="3" t="inlineStr">
        <is>
          <t xml:space="preserve">Доля объяснённого разброса, %</t>
        </is>
      </c>
      <c r="B23" s="7">
        <f>IF('23. Расчёты'!$B$2&lt;3,"—",IFERROR(RSQ(Выборка2,Выборка1)*100,"—"))</f>
      </c>
    </row>
    <row r="24" ht="17" customHeight="1">
      <c r="A24" s="3" t="inlineStr">
        <is>
          <t xml:space="preserve">Качество модели</t>
        </is>
      </c>
      <c r="B24" s="6" t="str">
        <f>IF('23. Расчёты'!$B$2&lt;3,"—",IFERROR(IF(RSQ(Выборка2,Выборка1)&lt;0.3,"слабая — предсказывать нельзя",IF(RSQ(Выборка2,Выборка1)&lt;0.5,"умеренная",IF(RSQ(Выборка2,Выборка1)&lt;0.7,"хорошая","сильная"))),"—"))</f>
      </c>
    </row>
    <row r="25" ht="17" customHeight="1">
      <c r="A25" s="3" t="inlineStr">
        <is>
          <t xml:space="preserve">Стандартная ошибка оценки</t>
        </is>
      </c>
      <c r="B25" s="7">
        <f>IF('23. Расчёты'!$B$2&lt;3,"—",IFERROR(STEYX(Выборка2,Выборка1),"—"))</f>
      </c>
    </row>
    <row r="27" ht="17" customHeight="1">
      <c r="A27" s="2" t="inlineStr">
        <is>
          <t xml:space="preserve">Вывод для диплома</t>
        </is>
      </c>
      <c r="B27" s="2"/>
      <c r="C27" s="2"/>
    </row>
    <row r="28" ht="34" customHeight="1">
      <c r="A28" s="11" t="str">
        <f>IF('23. Расчёты'!$B$2&lt;3,"Нужно хотя бы три пары значений.","Уравнение регрессии: y = "&amp;FIXED(IFERROR(INTERCEPT(Выборка2,Выборка1),0),2,TRUE)&amp;IF(IFERROR(SLOPE(Выборка2,Выборка1),0)&lt;0," - "," + ")&amp;FIXED(ABS(IFERROR(SLOPE(Выборка2,Выборка1),0)),2,TRUE)&amp;"·x. Коэффициент детерминации R² = "&amp;FIXED(IFERROR(RSQ(Выборка2,Выборка1),0),3,TRUE)&amp;", то есть уравнение объясняет "&amp;FIXED(IFERROR(RSQ(Выборка2,Выборка1)*100,0),1,TRUE)&amp;"% разброса значений.")</f>
      </c>
      <c r="B28" s="11"/>
      <c r="C28" s="11"/>
    </row>
    <row r="30" ht="17" customHeight="1">
      <c r="A30" s="2" t="inlineStr">
        <is>
          <t xml:space="preserve">Частые ошибки</t>
        </is>
      </c>
      <c r="B30" s="2"/>
      <c r="C30" s="2"/>
    </row>
    <row r="31" ht="34" customHeight="1">
      <c r="A31" s="10" t="inlineStr">
        <is>
          <t xml:space="preserve">Меняют местами аргументы: в НАКЛОН и ОТРЕЗОК сначала идёт y, потом x. Перепутаете — получите другое уравнение.</t>
        </is>
      </c>
    </row>
    <row r="32" ht="34" customHeight="1">
      <c r="A32" s="10" t="inlineStr">
        <is>
          <t xml:space="preserve">Предсказывают далеко за пределами своих данных. Уравнение верно только в том диапазоне, где вы измеряли.</t>
        </is>
      </c>
    </row>
    <row r="33" ht="17" customHeight="1">
      <c r="A33" s="10" t="inlineStr">
        <is>
          <t xml:space="preserve">Строят регрессию при слабой корреляции. Если R² меньше 0,3, предсказание бессмысленно.</t>
        </is>
      </c>
    </row>
  </sheetData>
  <mergeCells count="16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7:C17"/>
    <mergeCell ref="A27:C27"/>
    <mergeCell ref="A28:C28"/>
    <mergeCell ref="A30:C30"/>
    <mergeCell ref="A31:C31"/>
    <mergeCell ref="A32:C32"/>
    <mergeCell ref="A33:C33"/>
  </mergeCell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ED7D31"/>
  </sheetPr>
  <sheetViews>
    <sheetView workbookViewId="0" showGridLines="0"/>
  </sheetViews>
  <sheetFormatPr defaultRowHeight="15"/>
  <cols>
    <col min="1" max="1" width="34.00" customWidth="1"/>
    <col min="2" max="2" width="44.62" customWidth="1"/>
    <col min="3" max="3" width="62.00" customWidth="1"/>
  </cols>
  <sheetData>
    <row r="1" ht="17" customHeight="1">
      <c r="A1" s="1" t="inlineStr">
        <is>
          <t xml:space="preserve">Размер эффекта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Уровень значимости p отвечает только на вопрос «есть ли различия». Размер эффекта отвечает на более важный вопрос — насколько они велики.</t>
        </is>
      </c>
    </row>
    <row r="5" ht="34" customHeight="1">
      <c r="A5" s="10" t="inlineStr">
        <is>
          <t xml:space="preserve">На большой выборке значимым становится даже мизерное различие, поэтому в современных работах рядом с p принято приводить размер эффекта.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Всегда, когда вы сравнивали группы и получили значимое различие.</t>
        </is>
      </c>
    </row>
    <row r="9" ht="17" customHeight="1">
      <c r="A9" s="10" t="inlineStr">
        <is>
          <t xml:space="preserve">Для параметрических критериев считают d Коэна, для ранговых — коэффициент r.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d Коэна (две группы)</t>
        </is>
      </c>
      <c r="B12" s="12" t="str">
        <f>"=(M1-M2)/объединённое отклонение"</f>
      </c>
    </row>
    <row r="13" ht="17" customHeight="1">
      <c r="A13" s="3" t="inlineStr">
        <is>
          <t xml:space="preserve">d Коэна (до и после)</t>
        </is>
      </c>
      <c r="B13" s="12" t="str">
        <f>"=среднее разностей/отклонение разностей"</f>
      </c>
    </row>
    <row r="14" ht="17" customHeight="1">
      <c r="A14" s="3" t="inlineStr">
        <is>
          <t xml:space="preserve">r для рангового критерия</t>
        </is>
      </c>
      <c r="B14" s="12" t="str">
        <f>"=z/КОРЕНЬ(N)"</f>
      </c>
    </row>
    <row r="16" ht="17" customHeight="1">
      <c r="A16" s="2" t="inlineStr">
        <is>
          <t xml:space="preserve">Ваш расчёт</t>
        </is>
      </c>
      <c r="B16" s="2"/>
      <c r="C16" s="2"/>
    </row>
    <row r="17" ht="17" customHeight="1">
      <c r="A17" s="3" t="inlineStr">
        <is>
          <t xml:space="preserve">Какой критерий применён</t>
        </is>
      </c>
      <c r="B17" s="6" t="str">
        <f>'23. Расчёты'!$B$49</f>
      </c>
    </row>
    <row r="18" ht="17" customHeight="1">
      <c r="A18" s="3" t="inlineStr">
        <is>
          <t xml:space="preserve">d Коэна</t>
        </is>
      </c>
      <c r="B18" s="8">
        <f>IF('23. Расчёты'!$B$46=1,IF('23. Расчёты'!$B$30="","—",'23. Расчёты'!$B$30),IF('23. Расчёты'!$B$34="","—",'23. Расчёты'!$B$34))</f>
      </c>
    </row>
    <row r="19" ht="17" customHeight="1">
      <c r="A19" s="3" t="inlineStr">
        <is>
          <t xml:space="preserve">Величина эффекта по d</t>
        </is>
      </c>
      <c r="B19" s="6" t="str">
        <f>IF(IF('23. Расчёты'!$B$46=1,'23. Расчёты'!$B$30,'23. Расчёты'!$B$34)="","—",IF(ABS(IF('23. Расчёты'!$B$46=1,'23. Расчёты'!$B$30,'23. Расчёты'!$B$34))&lt;0.2,"незначительная",IF(ABS(IF('23. Расчёты'!$B$46=1,'23. Расчёты'!$B$30,'23. Расчёты'!$B$34))&lt;0.5,"малая",IF(ABS(IF('23. Расчёты'!$B$46=1,'23. Расчёты'!$B$30,'23. Расчёты'!$B$34))&lt;0.8,"средняя","большая"))))</f>
      </c>
    </row>
    <row r="20" ht="17" customHeight="1">
      <c r="A20" s="3" t="inlineStr">
        <is>
          <t xml:space="preserve">r для рангового критерия</t>
        </is>
      </c>
      <c r="B20" s="8">
        <f>IF('23. Расчёты'!$B$46=1,IF(OR('23. Расчёты'!$B$44="",'23. Расчёты'!$B$20=0),"—",'23. Расчёты'!$B$44/SQRT('23. Расчёты'!$B$20)),IF(OR('23. Расчёты'!$B$39="",'23. Расчёты'!$B$2+'23. Расчёты'!$B$3=0),"—",'23. Расчёты'!$B$39/SQRT('23. Расчёты'!$B$2+'23. Расчёты'!$B$3)))</f>
      </c>
    </row>
    <row r="21" ht="17" customHeight="1">
      <c r="A21" s="3" t="inlineStr">
        <is>
          <t xml:space="preserve">Величина эффекта по r</t>
        </is>
      </c>
      <c r="B21" s="6" t="str">
        <f>IF(IF('23. Расчёты'!$B$46=1,IF(OR('23. Расчёты'!$B$44="",'23. Расчёты'!$B$20=0),"",'23. Расчёты'!$B$44/SQRT('23. Расчёты'!$B$20)),IF(OR('23. Расчёты'!$B$39="",'23. Расчёты'!$B$2+'23. Расчёты'!$B$3=0),"",'23. Расчёты'!$B$39/SQRT('23. Расчёты'!$B$2+'23. Расчёты'!$B$3)))="","—",IF(ABS(IF('23. Расчёты'!$B$46=1,'23. Расчёты'!$B$44/SQRT(MAX(1,'23. Расчёты'!$B$20)),'23. Расчёты'!$B$39/SQRT(MAX(1,'23. Расчёты'!$B$2+'23. Расчёты'!$B$3))))&lt;0.1,"незначительная",IF(ABS(IF('23. Расчёты'!$B$46=1,'23. Расчёты'!$B$44/SQRT(MAX(1,'23. Расчёты'!$B$20)),'23. Расчёты'!$B$39/SQRT(MAX(1,'23. Расчёты'!$B$2+'23. Расчёты'!$B$3))))&lt;0.3,"малая",IF(ABS(IF('23. Расчёты'!$B$46=1,'23. Расчёты'!$B$44/SQRT(MAX(1,'23. Расчёты'!$B$20)),'23. Расчёты'!$B$39/SQRT(MAX(1,'23. Расчёты'!$B$2+'23. Расчёты'!$B$3))))&lt;0.5,"средняя","большая"))))</f>
      </c>
    </row>
    <row r="22" ht="17" customHeight="1">
      <c r="A22" s="3" t="inlineStr">
        <is>
          <t xml:space="preserve">Уровень значимости p</t>
        </is>
      </c>
      <c r="B22" s="8">
        <f>IF('23. Расчёты'!$B$51="","—",'23. Расчёты'!$B$51)</f>
      </c>
    </row>
    <row r="24" ht="17" customHeight="1">
      <c r="A24" s="2" t="inlineStr">
        <is>
          <t xml:space="preserve">Вывод для диплома</t>
        </is>
      </c>
      <c r="B24" s="2"/>
      <c r="C24" s="2"/>
    </row>
    <row r="25" ht="34" customHeight="1">
      <c r="A25" s="11" t="str">
        <f>IF('23. Расчёты'!$B$51="","Недостаточно данных.","Для показателя «"&amp;Показатель&amp;"» размер эффекта составил d = "&amp;FIXED(IF('23. Расчёты'!$B$46=1,'23. Расчёты'!$B$30,'23. Расчёты'!$B$34),2,TRUE)&amp;", что соответствует "&amp;IF(ABS(IF('23. Расчёты'!$B$46=1,'23. Расчёты'!$B$30,'23. Расчёты'!$B$34))&lt;0.2,"незначительной",IF(ABS(IF('23. Расчёты'!$B$46=1,'23. Расчёты'!$B$30,'23. Расчёты'!$B$34))&lt;0.5,"малой",IF(ABS(IF('23. Расчёты'!$B$46=1,'23. Расчёты'!$B$30,'23. Расчёты'!$B$34))&lt;0.8,"средней","большой")))&amp;" величине эффекта.")</f>
      </c>
      <c r="B25" s="11"/>
      <c r="C25" s="11"/>
    </row>
    <row r="27" ht="17" customHeight="1">
      <c r="A27" s="2" t="inlineStr">
        <is>
          <t xml:space="preserve">Частые ошибки</t>
        </is>
      </c>
      <c r="B27" s="2"/>
      <c r="C27" s="2"/>
    </row>
    <row r="28" ht="34" customHeight="1">
      <c r="A28" s="10" t="inlineStr">
        <is>
          <t xml:space="preserve">Приводят только p и делают вывод о «сильном влиянии методики». Про силу говорит размер эффекта, а не p.</t>
        </is>
      </c>
    </row>
    <row r="29" ht="17" customHeight="1">
      <c r="A29" s="10" t="inlineStr">
        <is>
          <t xml:space="preserve">Путают пороги для d и для r: 0,2/0,5/0,8 — это для d, а 0,1/0,3/0,5 — для r.</t>
        </is>
      </c>
    </row>
    <row r="30" ht="34" customHeight="1">
      <c r="A30" s="10" t="inlineStr">
        <is>
          <t xml:space="preserve">Считают отрицательный d признаком ошибки. Знак показывает лишь направление различий.</t>
        </is>
      </c>
    </row>
  </sheetData>
  <mergeCells count="15">
    <mergeCell ref="A1:C1"/>
    <mergeCell ref="A3:C3"/>
    <mergeCell ref="A4:C4"/>
    <mergeCell ref="A5:C5"/>
    <mergeCell ref="A7:C7"/>
    <mergeCell ref="A8:C8"/>
    <mergeCell ref="A9:C9"/>
    <mergeCell ref="A11:C11"/>
    <mergeCell ref="A16:C16"/>
    <mergeCell ref="A24:C24"/>
    <mergeCell ref="A25:C25"/>
    <mergeCell ref="A27:C27"/>
    <mergeCell ref="A28:C28"/>
    <mergeCell ref="A29:C29"/>
    <mergeCell ref="A30:C30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sheetViews>
    <sheetView workbookViewId="0" showGridLines="0">
      <pane xSplit="0" ySplit="11" topLeftCell="A12" activePane="bottomRight" state="frozen"/>
    </sheetView>
  </sheetViews>
  <sheetFormatPr defaultRowHeight="15"/>
  <cols>
    <col min="1" max="1" width="23.02" customWidth="1"/>
    <col min="2" max="2" width="31.66" customWidth="1"/>
    <col min="3" max="3" width="34.90" customWidth="1"/>
    <col min="4" max="4" width="52.00" customWidth="1"/>
  </cols>
  <sheetData>
    <row r="1" ht="17" customHeight="1">
      <c r="A1" s="1" t="inlineStr">
        <is>
          <t xml:space="preserve">Мои данные</t>
        </is>
      </c>
      <c r="B1" s="1"/>
      <c r="C1" s="1"/>
      <c r="D1" s="1"/>
    </row>
    <row r="2" ht="34" customHeight="1">
      <c r="A2" s="10" t="inlineStr">
        <is>
          <t xml:space="preserve">СЕЙЧАС ЗДЕСЬ УЧЕБНЫЙ ПРИМЕР НА 20 ЧЕЛОВЕК. Чтобы внести свои данные: выделите строки с 12-й и ниже, нажмите Delete, затем впишите свой показатель и вставьте числа.</t>
        </is>
      </c>
    </row>
    <row r="3" ht="17" customHeight="1">
      <c r="A3" s="2" t="inlineStr">
        <is>
          <t xml:space="preserve">Настройки</t>
        </is>
      </c>
      <c r="B3" s="2"/>
      <c r="C3" s="2"/>
      <c r="D3" s="2"/>
    </row>
    <row r="4" ht="34" customHeight="1">
      <c r="A4" s="3" t="inlineStr">
        <is>
          <t xml:space="preserve">Что сравниваем</t>
        </is>
      </c>
      <c r="B4" s="4" t="inlineStr">
        <is>
          <t xml:space="preserve">До и После</t>
        </is>
      </c>
      <c r="C4" s="4"/>
      <c r="D4" s="10" t="inlineStr">
        <is>
          <t xml:space="preserve">«До и После» — одни и те же люди дважды. «Две группы» — разные люди.</t>
        </is>
      </c>
    </row>
    <row r="5" ht="17" customHeight="1">
      <c r="A5" s="3" t="inlineStr">
        <is>
          <t xml:space="preserve">Названия выборок</t>
        </is>
      </c>
      <c r="B5" s="4" t="str">
        <f>IF(Режим="До и После","До","КГ")</f>
      </c>
      <c r="C5" s="4" t="str">
        <f>IF(Режим="До и После","После","ЭГ")</f>
      </c>
      <c r="D5" s="10" t="inlineStr">
        <is>
          <t xml:space="preserve">Можно вписать свои: «Юноши» и «Девушки».</t>
        </is>
      </c>
    </row>
    <row r="6" ht="17" customHeight="1">
      <c r="A6" s="3" t="inlineStr">
        <is>
          <t xml:space="preserve">Название показателя</t>
        </is>
      </c>
      <c r="B6" s="4" t="inlineStr">
        <is>
          <t xml:space="preserve">Ситуативная тревожность</t>
        </is>
      </c>
      <c r="C6" s="4"/>
      <c r="D6" s="10" t="inlineStr">
        <is>
          <t xml:space="preserve">Подставится во все таблицы и выводы.</t>
        </is>
      </c>
    </row>
    <row r="7" ht="17" customHeight="1">
      <c r="A7" s="3" t="inlineStr">
        <is>
          <t xml:space="preserve">Единицы измерения</t>
        </is>
      </c>
      <c r="B7" s="4" t="inlineStr">
        <is>
          <t xml:space="preserve">баллы</t>
        </is>
      </c>
      <c r="C7" s="4"/>
      <c r="D7" s="10" t="inlineStr">
        <is>
          <t xml:space="preserve">Появятся рядом со средними: «40,85 ± 0,82».</t>
        </is>
      </c>
    </row>
    <row r="8" ht="34" customHeight="1">
      <c r="A8" s="3" t="inlineStr">
        <is>
          <t xml:space="preserve">Тип шкалы</t>
        </is>
      </c>
      <c r="B8" s="4" t="inlineStr">
        <is>
          <t xml:space="preserve">порядковая</t>
        </is>
      </c>
      <c r="C8" s="4"/>
      <c r="D8" s="10" t="inlineStr">
        <is>
          <t xml:space="preserve">От неё зависит критерий: баллы теста — порядковая шкала, для неё сразу берутся ранговые критерии.</t>
        </is>
      </c>
    </row>
    <row r="10" ht="17" customHeight="1">
      <c r="A10" s="2" t="inlineStr">
        <is>
          <t xml:space="preserve">Данные</t>
        </is>
      </c>
      <c r="B10" s="2"/>
      <c r="C10" s="2"/>
      <c r="D10" s="2"/>
    </row>
    <row r="11" ht="17" customHeight="1">
      <c r="A11" s="9" t="inlineStr">
        <is>
          <t xml:space="preserve">№</t>
        </is>
      </c>
      <c r="B11" s="9" t="str">
        <f>'2. Мои данные'!$B$6&amp;": "&amp;Метка1</f>
      </c>
      <c r="C11" s="9" t="str">
        <f>'2. Мои данные'!$B$6&amp;": "&amp;Метка2</f>
      </c>
      <c r="D11" s="9"/>
    </row>
    <row r="12" ht="17" customHeight="1">
      <c r="A12" s="6">
        <v>1</v>
      </c>
      <c r="B12" s="5">
        <v>48</v>
      </c>
      <c r="C12" s="5">
        <v>39</v>
      </c>
    </row>
    <row r="13" ht="17" customHeight="1">
      <c r="A13" s="6">
        <v>2</v>
      </c>
      <c r="B13" s="5">
        <v>52</v>
      </c>
      <c r="C13" s="5">
        <v>44</v>
      </c>
    </row>
    <row r="14" ht="17" customHeight="1">
      <c r="A14" s="6">
        <v>3</v>
      </c>
      <c r="B14" s="5">
        <v>45</v>
      </c>
      <c r="C14" s="5">
        <v>38</v>
      </c>
    </row>
    <row r="15" ht="17" customHeight="1">
      <c r="A15" s="6">
        <v>4</v>
      </c>
      <c r="B15" s="5">
        <v>41</v>
      </c>
      <c r="C15" s="5">
        <v>36</v>
      </c>
    </row>
    <row r="16" ht="17" customHeight="1">
      <c r="A16" s="6">
        <v>5</v>
      </c>
      <c r="B16" s="5">
        <v>54</v>
      </c>
      <c r="C16" s="5">
        <v>45</v>
      </c>
    </row>
    <row r="17" ht="17" customHeight="1">
      <c r="A17" s="6">
        <v>6</v>
      </c>
      <c r="B17" s="5">
        <v>47</v>
      </c>
      <c r="C17" s="5">
        <v>40</v>
      </c>
    </row>
    <row r="18" ht="17" customHeight="1">
      <c r="A18" s="6">
        <v>7</v>
      </c>
      <c r="B18" s="5">
        <v>50</v>
      </c>
      <c r="C18" s="5">
        <v>50</v>
      </c>
    </row>
    <row r="19" ht="17" customHeight="1">
      <c r="A19" s="6">
        <v>8</v>
      </c>
      <c r="B19" s="5">
        <v>43</v>
      </c>
      <c r="C19" s="5">
        <v>37</v>
      </c>
    </row>
    <row r="20" ht="17" customHeight="1">
      <c r="A20" s="6">
        <v>9</v>
      </c>
      <c r="B20" s="5">
        <v>46</v>
      </c>
      <c r="C20" s="5">
        <v>39</v>
      </c>
    </row>
    <row r="21" ht="17" customHeight="1">
      <c r="A21" s="6">
        <v>10</v>
      </c>
      <c r="B21" s="5">
        <v>51</v>
      </c>
      <c r="C21" s="5">
        <v>43</v>
      </c>
    </row>
    <row r="22" ht="17" customHeight="1">
      <c r="A22" s="6">
        <v>11</v>
      </c>
      <c r="B22" s="5">
        <v>44</v>
      </c>
      <c r="C22" s="5">
        <v>38</v>
      </c>
    </row>
    <row r="23" ht="17" customHeight="1">
      <c r="A23" s="6">
        <v>12</v>
      </c>
      <c r="B23" s="5">
        <v>49</v>
      </c>
      <c r="C23" s="5">
        <v>41</v>
      </c>
    </row>
    <row r="24" ht="17" customHeight="1">
      <c r="A24" s="6">
        <v>13</v>
      </c>
      <c r="B24" s="5">
        <v>53</v>
      </c>
      <c r="C24" s="5">
        <v>44</v>
      </c>
    </row>
    <row r="25" ht="17" customHeight="1">
      <c r="A25" s="6">
        <v>14</v>
      </c>
      <c r="B25" s="5">
        <v>42</v>
      </c>
      <c r="C25" s="5">
        <v>36</v>
      </c>
    </row>
    <row r="26" ht="17" customHeight="1">
      <c r="A26" s="6">
        <v>15</v>
      </c>
      <c r="B26" s="5">
        <v>47</v>
      </c>
      <c r="C26" s="5">
        <v>40</v>
      </c>
    </row>
    <row r="27" ht="17" customHeight="1">
      <c r="A27" s="6">
        <v>16</v>
      </c>
      <c r="B27" s="5">
        <v>55</v>
      </c>
      <c r="C27" s="5">
        <v>46</v>
      </c>
    </row>
    <row r="28" ht="17" customHeight="1">
      <c r="A28" s="6">
        <v>17</v>
      </c>
      <c r="B28" s="5">
        <v>40</v>
      </c>
      <c r="C28" s="5">
        <v>42</v>
      </c>
    </row>
    <row r="29" ht="17" customHeight="1">
      <c r="A29" s="6">
        <v>18</v>
      </c>
      <c r="B29" s="5">
        <v>46</v>
      </c>
      <c r="C29" s="5">
        <v>39</v>
      </c>
    </row>
    <row r="30" ht="17" customHeight="1">
      <c r="A30" s="6">
        <v>19</v>
      </c>
      <c r="B30" s="5">
        <v>50</v>
      </c>
      <c r="C30" s="5">
        <v>42</v>
      </c>
    </row>
    <row r="31" ht="17" customHeight="1">
      <c r="A31" s="6">
        <v>20</v>
      </c>
      <c r="B31" s="5">
        <v>45</v>
      </c>
      <c r="C31" s="5">
        <v>38</v>
      </c>
    </row>
    <row r="32" ht="17" customHeight="1">
      <c r="A32" s="6">
        <v>21</v>
      </c>
      <c r="B32" s="5"/>
      <c r="C32" s="5"/>
    </row>
    <row r="33" ht="17" customHeight="1">
      <c r="A33" s="6">
        <v>22</v>
      </c>
      <c r="B33" s="5"/>
      <c r="C33" s="5"/>
    </row>
    <row r="34" ht="17" customHeight="1">
      <c r="A34" s="6">
        <v>23</v>
      </c>
      <c r="B34" s="5"/>
      <c r="C34" s="5"/>
    </row>
    <row r="35" ht="17" customHeight="1">
      <c r="A35" s="6">
        <v>24</v>
      </c>
      <c r="B35" s="5"/>
      <c r="C35" s="5"/>
    </row>
    <row r="36" ht="17" customHeight="1">
      <c r="A36" s="6">
        <v>25</v>
      </c>
      <c r="B36" s="5"/>
      <c r="C36" s="5"/>
    </row>
    <row r="37" ht="17" customHeight="1">
      <c r="A37" s="6">
        <v>26</v>
      </c>
      <c r="B37" s="5"/>
      <c r="C37" s="5"/>
    </row>
    <row r="38" ht="17" customHeight="1">
      <c r="A38" s="6">
        <v>27</v>
      </c>
      <c r="B38" s="5"/>
      <c r="C38" s="5"/>
    </row>
    <row r="39" ht="17" customHeight="1">
      <c r="A39" s="6">
        <v>28</v>
      </c>
      <c r="B39" s="5"/>
      <c r="C39" s="5"/>
    </row>
    <row r="40" ht="17" customHeight="1">
      <c r="A40" s="6">
        <v>29</v>
      </c>
      <c r="B40" s="5"/>
      <c r="C40" s="5"/>
    </row>
    <row r="41" ht="17" customHeight="1">
      <c r="A41" s="6">
        <v>30</v>
      </c>
      <c r="B41" s="5"/>
      <c r="C41" s="5"/>
    </row>
    <row r="42" ht="17" customHeight="1">
      <c r="A42" s="6">
        <v>31</v>
      </c>
      <c r="B42" s="5"/>
      <c r="C42" s="5"/>
    </row>
    <row r="43" ht="17" customHeight="1">
      <c r="A43" s="6">
        <v>32</v>
      </c>
      <c r="B43" s="5"/>
      <c r="C43" s="5"/>
    </row>
    <row r="44" ht="17" customHeight="1">
      <c r="A44" s="6">
        <v>33</v>
      </c>
      <c r="B44" s="5"/>
      <c r="C44" s="5"/>
    </row>
    <row r="45" ht="17" customHeight="1">
      <c r="A45" s="6">
        <v>34</v>
      </c>
      <c r="B45" s="5"/>
      <c r="C45" s="5"/>
    </row>
    <row r="46" ht="17" customHeight="1">
      <c r="A46" s="6">
        <v>35</v>
      </c>
      <c r="B46" s="5"/>
      <c r="C46" s="5"/>
    </row>
    <row r="47" ht="17" customHeight="1">
      <c r="A47" s="6">
        <v>36</v>
      </c>
      <c r="B47" s="5"/>
      <c r="C47" s="5"/>
    </row>
    <row r="48" ht="17" customHeight="1">
      <c r="A48" s="6">
        <v>37</v>
      </c>
      <c r="B48" s="5"/>
      <c r="C48" s="5"/>
    </row>
    <row r="49" ht="17" customHeight="1">
      <c r="A49" s="6">
        <v>38</v>
      </c>
      <c r="B49" s="5"/>
      <c r="C49" s="5"/>
    </row>
    <row r="50" ht="17" customHeight="1">
      <c r="A50" s="6">
        <v>39</v>
      </c>
      <c r="B50" s="5"/>
      <c r="C50" s="5"/>
    </row>
    <row r="51" ht="17" customHeight="1">
      <c r="A51" s="6">
        <v>40</v>
      </c>
      <c r="B51" s="5"/>
      <c r="C51" s="5"/>
    </row>
    <row r="52" ht="17" customHeight="1">
      <c r="A52" s="6">
        <v>41</v>
      </c>
      <c r="B52" s="5"/>
      <c r="C52" s="5"/>
    </row>
    <row r="53" ht="17" customHeight="1">
      <c r="A53" s="6">
        <v>42</v>
      </c>
      <c r="B53" s="5"/>
      <c r="C53" s="5"/>
    </row>
    <row r="54" ht="17" customHeight="1">
      <c r="A54" s="6">
        <v>43</v>
      </c>
      <c r="B54" s="5"/>
      <c r="C54" s="5"/>
    </row>
    <row r="55" ht="17" customHeight="1">
      <c r="A55" s="6">
        <v>44</v>
      </c>
      <c r="B55" s="5"/>
      <c r="C55" s="5"/>
    </row>
    <row r="56" ht="17" customHeight="1">
      <c r="A56" s="6">
        <v>45</v>
      </c>
      <c r="B56" s="5"/>
      <c r="C56" s="5"/>
    </row>
    <row r="57" ht="17" customHeight="1">
      <c r="A57" s="6">
        <v>46</v>
      </c>
      <c r="B57" s="5"/>
      <c r="C57" s="5"/>
    </row>
    <row r="58" ht="17" customHeight="1">
      <c r="A58" s="6">
        <v>47</v>
      </c>
      <c r="B58" s="5"/>
      <c r="C58" s="5"/>
    </row>
    <row r="59" ht="17" customHeight="1">
      <c r="A59" s="6">
        <v>48</v>
      </c>
      <c r="B59" s="5"/>
      <c r="C59" s="5"/>
    </row>
    <row r="60" ht="17" customHeight="1">
      <c r="A60" s="6">
        <v>49</v>
      </c>
      <c r="B60" s="5"/>
      <c r="C60" s="5"/>
    </row>
    <row r="61" ht="17" customHeight="1">
      <c r="A61" s="6">
        <v>50</v>
      </c>
      <c r="B61" s="5"/>
      <c r="C61" s="5"/>
    </row>
    <row r="62" ht="17" customHeight="1">
      <c r="A62" s="6">
        <v>51</v>
      </c>
      <c r="B62" s="5"/>
      <c r="C62" s="5"/>
    </row>
    <row r="63" ht="17" customHeight="1">
      <c r="A63" s="6">
        <v>52</v>
      </c>
      <c r="B63" s="5"/>
      <c r="C63" s="5"/>
    </row>
    <row r="64" ht="17" customHeight="1">
      <c r="A64" s="6">
        <v>53</v>
      </c>
      <c r="B64" s="5"/>
      <c r="C64" s="5"/>
    </row>
    <row r="65" ht="17" customHeight="1">
      <c r="A65" s="6">
        <v>54</v>
      </c>
      <c r="B65" s="5"/>
      <c r="C65" s="5"/>
    </row>
    <row r="66" ht="17" customHeight="1">
      <c r="A66" s="6">
        <v>55</v>
      </c>
      <c r="B66" s="5"/>
      <c r="C66" s="5"/>
    </row>
    <row r="67" ht="17" customHeight="1">
      <c r="A67" s="6">
        <v>56</v>
      </c>
      <c r="B67" s="5"/>
      <c r="C67" s="5"/>
    </row>
    <row r="68" ht="17" customHeight="1">
      <c r="A68" s="6">
        <v>57</v>
      </c>
      <c r="B68" s="5"/>
      <c r="C68" s="5"/>
    </row>
    <row r="69" ht="17" customHeight="1">
      <c r="A69" s="6">
        <v>58</v>
      </c>
      <c r="B69" s="5"/>
      <c r="C69" s="5"/>
    </row>
    <row r="70" ht="17" customHeight="1">
      <c r="A70" s="6">
        <v>59</v>
      </c>
      <c r="B70" s="5"/>
      <c r="C70" s="5"/>
    </row>
    <row r="71">
      <c r="A71" s="6">
        <v>60</v>
      </c>
      <c r="B71" s="5"/>
      <c r="C71" s="5"/>
    </row>
    <row r="72">
      <c r="A72" s="6">
        <v>61</v>
      </c>
      <c r="B72" s="5"/>
      <c r="C72" s="5"/>
    </row>
    <row r="73">
      <c r="A73" s="6">
        <v>62</v>
      </c>
      <c r="B73" s="5"/>
      <c r="C73" s="5"/>
    </row>
    <row r="74">
      <c r="A74" s="6">
        <v>63</v>
      </c>
      <c r="B74" s="5"/>
      <c r="C74" s="5"/>
    </row>
    <row r="75">
      <c r="A75" s="6">
        <v>64</v>
      </c>
      <c r="B75" s="5"/>
      <c r="C75" s="5"/>
    </row>
    <row r="76">
      <c r="A76" s="6">
        <v>65</v>
      </c>
      <c r="B76" s="5"/>
      <c r="C76" s="5"/>
    </row>
    <row r="77">
      <c r="A77" s="6">
        <v>66</v>
      </c>
      <c r="B77" s="5"/>
      <c r="C77" s="5"/>
    </row>
    <row r="78">
      <c r="A78" s="6">
        <v>67</v>
      </c>
      <c r="B78" s="5"/>
      <c r="C78" s="5"/>
    </row>
    <row r="79">
      <c r="A79" s="6">
        <v>68</v>
      </c>
      <c r="B79" s="5"/>
      <c r="C79" s="5"/>
    </row>
    <row r="80">
      <c r="A80" s="6">
        <v>69</v>
      </c>
      <c r="B80" s="5"/>
      <c r="C80" s="5"/>
    </row>
    <row r="81">
      <c r="A81" s="6">
        <v>70</v>
      </c>
      <c r="B81" s="5"/>
      <c r="C81" s="5"/>
    </row>
    <row r="82">
      <c r="A82" s="6">
        <v>71</v>
      </c>
      <c r="B82" s="5"/>
      <c r="C82" s="5"/>
    </row>
    <row r="83">
      <c r="A83" s="6">
        <v>72</v>
      </c>
      <c r="B83" s="5"/>
      <c r="C83" s="5"/>
    </row>
    <row r="84">
      <c r="A84" s="6">
        <v>73</v>
      </c>
      <c r="B84" s="5"/>
      <c r="C84" s="5"/>
    </row>
    <row r="85">
      <c r="A85" s="6">
        <v>74</v>
      </c>
      <c r="B85" s="5"/>
      <c r="C85" s="5"/>
    </row>
    <row r="86">
      <c r="A86" s="6">
        <v>75</v>
      </c>
      <c r="B86" s="5"/>
      <c r="C86" s="5"/>
    </row>
    <row r="87">
      <c r="A87" s="6">
        <v>76</v>
      </c>
      <c r="B87" s="5"/>
      <c r="C87" s="5"/>
    </row>
    <row r="88">
      <c r="A88" s="6">
        <v>77</v>
      </c>
      <c r="B88" s="5"/>
      <c r="C88" s="5"/>
    </row>
    <row r="89">
      <c r="A89" s="6">
        <v>78</v>
      </c>
      <c r="B89" s="5"/>
      <c r="C89" s="5"/>
    </row>
    <row r="90">
      <c r="A90" s="6">
        <v>79</v>
      </c>
      <c r="B90" s="5"/>
      <c r="C90" s="5"/>
    </row>
    <row r="91">
      <c r="A91" s="6">
        <v>80</v>
      </c>
      <c r="B91" s="5"/>
      <c r="C91" s="5"/>
    </row>
    <row r="92">
      <c r="A92" s="6">
        <v>81</v>
      </c>
      <c r="B92" s="5"/>
      <c r="C92" s="5"/>
    </row>
    <row r="93">
      <c r="A93" s="6">
        <v>82</v>
      </c>
      <c r="B93" s="5"/>
      <c r="C93" s="5"/>
    </row>
    <row r="94">
      <c r="A94" s="6">
        <v>83</v>
      </c>
      <c r="B94" s="5"/>
      <c r="C94" s="5"/>
    </row>
    <row r="95">
      <c r="A95" s="6">
        <v>84</v>
      </c>
      <c r="B95" s="5"/>
      <c r="C95" s="5"/>
    </row>
    <row r="96">
      <c r="A96" s="6">
        <v>85</v>
      </c>
      <c r="B96" s="5"/>
      <c r="C96" s="5"/>
    </row>
    <row r="97">
      <c r="A97" s="6">
        <v>86</v>
      </c>
      <c r="B97" s="5"/>
      <c r="C97" s="5"/>
    </row>
    <row r="98">
      <c r="A98" s="6">
        <v>87</v>
      </c>
      <c r="B98" s="5"/>
      <c r="C98" s="5"/>
    </row>
    <row r="99">
      <c r="A99" s="6">
        <v>88</v>
      </c>
      <c r="B99" s="5"/>
      <c r="C99" s="5"/>
    </row>
    <row r="100">
      <c r="A100" s="6">
        <v>89</v>
      </c>
      <c r="B100" s="5"/>
      <c r="C100" s="5"/>
    </row>
    <row r="101">
      <c r="A101" s="6">
        <v>90</v>
      </c>
      <c r="B101" s="5"/>
      <c r="C101" s="5"/>
    </row>
    <row r="102">
      <c r="A102" s="6">
        <v>91</v>
      </c>
      <c r="B102" s="5"/>
      <c r="C102" s="5"/>
    </row>
    <row r="103">
      <c r="A103" s="6">
        <v>92</v>
      </c>
      <c r="B103" s="5"/>
      <c r="C103" s="5"/>
    </row>
    <row r="104">
      <c r="A104" s="6">
        <v>93</v>
      </c>
      <c r="B104" s="5"/>
      <c r="C104" s="5"/>
    </row>
    <row r="105">
      <c r="A105" s="6">
        <v>94</v>
      </c>
      <c r="B105" s="5"/>
      <c r="C105" s="5"/>
    </row>
    <row r="106">
      <c r="A106" s="6">
        <v>95</v>
      </c>
      <c r="B106" s="5"/>
      <c r="C106" s="5"/>
    </row>
    <row r="107">
      <c r="A107" s="6">
        <v>96</v>
      </c>
      <c r="B107" s="5"/>
      <c r="C107" s="5"/>
    </row>
    <row r="108">
      <c r="A108" s="6">
        <v>97</v>
      </c>
      <c r="B108" s="5"/>
      <c r="C108" s="5"/>
    </row>
    <row r="109">
      <c r="A109" s="6">
        <v>98</v>
      </c>
      <c r="B109" s="5"/>
      <c r="C109" s="5"/>
    </row>
    <row r="110">
      <c r="A110" s="6">
        <v>99</v>
      </c>
      <c r="B110" s="5"/>
      <c r="C110" s="5"/>
    </row>
    <row r="111">
      <c r="A111" s="6">
        <v>100</v>
      </c>
      <c r="B111" s="5"/>
      <c r="C111" s="5"/>
    </row>
    <row r="112">
      <c r="A112" s="6">
        <v>101</v>
      </c>
      <c r="B112" s="5"/>
      <c r="C112" s="5"/>
    </row>
    <row r="113">
      <c r="A113" s="6">
        <v>102</v>
      </c>
      <c r="B113" s="5"/>
      <c r="C113" s="5"/>
    </row>
    <row r="114">
      <c r="A114" s="6">
        <v>103</v>
      </c>
      <c r="B114" s="5"/>
      <c r="C114" s="5"/>
    </row>
    <row r="115">
      <c r="A115" s="6">
        <v>104</v>
      </c>
      <c r="B115" s="5"/>
      <c r="C115" s="5"/>
    </row>
    <row r="116">
      <c r="A116" s="6">
        <v>105</v>
      </c>
      <c r="B116" s="5"/>
      <c r="C116" s="5"/>
    </row>
    <row r="117">
      <c r="A117" s="6">
        <v>106</v>
      </c>
      <c r="B117" s="5"/>
      <c r="C117" s="5"/>
    </row>
    <row r="118">
      <c r="A118" s="6">
        <v>107</v>
      </c>
      <c r="B118" s="5"/>
      <c r="C118" s="5"/>
    </row>
    <row r="119">
      <c r="A119" s="6">
        <v>108</v>
      </c>
      <c r="B119" s="5"/>
      <c r="C119" s="5"/>
    </row>
    <row r="120">
      <c r="A120" s="6">
        <v>109</v>
      </c>
      <c r="B120" s="5"/>
      <c r="C120" s="5"/>
    </row>
    <row r="121">
      <c r="A121" s="6">
        <v>110</v>
      </c>
      <c r="B121" s="5"/>
      <c r="C121" s="5"/>
    </row>
    <row r="122">
      <c r="A122" s="6">
        <v>111</v>
      </c>
      <c r="B122" s="5"/>
      <c r="C122" s="5"/>
    </row>
    <row r="123">
      <c r="A123" s="6">
        <v>112</v>
      </c>
      <c r="B123" s="5"/>
      <c r="C123" s="5"/>
    </row>
    <row r="124">
      <c r="A124" s="6">
        <v>113</v>
      </c>
      <c r="B124" s="5"/>
      <c r="C124" s="5"/>
    </row>
    <row r="125">
      <c r="A125" s="6">
        <v>114</v>
      </c>
      <c r="B125" s="5"/>
      <c r="C125" s="5"/>
    </row>
    <row r="126">
      <c r="A126" s="6">
        <v>115</v>
      </c>
      <c r="B126" s="5"/>
      <c r="C126" s="5"/>
    </row>
    <row r="127">
      <c r="A127" s="6">
        <v>116</v>
      </c>
      <c r="B127" s="5"/>
      <c r="C127" s="5"/>
    </row>
    <row r="128">
      <c r="A128" s="6">
        <v>117</v>
      </c>
      <c r="B128" s="5"/>
      <c r="C128" s="5"/>
    </row>
    <row r="129">
      <c r="A129" s="6">
        <v>118</v>
      </c>
      <c r="B129" s="5"/>
      <c r="C129" s="5"/>
    </row>
    <row r="130">
      <c r="A130" s="6">
        <v>119</v>
      </c>
      <c r="B130" s="5"/>
      <c r="C130" s="5"/>
    </row>
    <row r="131">
      <c r="A131" s="6">
        <v>120</v>
      </c>
      <c r="B131" s="5"/>
      <c r="C131" s="5"/>
    </row>
  </sheetData>
  <mergeCells count="8">
    <mergeCell ref="A1:D1"/>
    <mergeCell ref="A2:D2"/>
    <mergeCell ref="A3:D3"/>
    <mergeCell ref="B4:C4"/>
    <mergeCell ref="B6:C6"/>
    <mergeCell ref="B7:C7"/>
    <mergeCell ref="B8:C8"/>
    <mergeCell ref="A10:D10"/>
  </mergeCells>
  <dataValidations count="3">
    <dataValidation type="list" allowBlank="1" showInputMessage="1" showErrorMessage="1" sqref="B4:B4">
      <formula1>"До и После,Две группы (КГ и ЭГ)"</formula1>
    </dataValidation>
    <dataValidation type="list" allowBlank="1" showInputMessage="1" showErrorMessage="1" sqref="B7:B7">
      <formula1>"баллы,см,кг,сек,мин,м,раз,%,у.е."</formula1>
    </dataValidation>
    <dataValidation type="list" allowBlank="1" showInputMessage="1" showErrorMessage="1" sqref="B8:B8">
      <formula1>"количественная,порядковая"</formula1>
    </dataValidation>
  </dataValidation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7030A0"/>
  </sheetPr>
  <sheetViews>
    <sheetView workbookViewId="0" showGridLines="0"/>
  </sheetViews>
  <sheetFormatPr defaultRowHeight="15"/>
  <cols>
    <col min="1" max="1" width="26.00" customWidth="1"/>
    <col min="2" max="2" width="18.70" customWidth="1"/>
    <col min="3" max="3" width="18.70" customWidth="1"/>
    <col min="4" max="4" width="14.00" customWidth="1"/>
  </cols>
  <sheetData>
    <row r="1" ht="17" customHeight="1">
      <c r="A1" s="1" t="inlineStr">
        <is>
          <t xml:space="preserve">Графики</t>
        </is>
      </c>
      <c r="B1" s="1"/>
      <c r="C1" s="1"/>
      <c r="D1" s="1"/>
    </row>
    <row r="2" ht="49" customHeight="1">
      <c r="A2" s="10" t="inlineStr">
        <is>
          <t xml:space="preserve">Диаграммы построены по вашим данным и перерисуются сами, когда вы их замените. Чтобы вставить в диплом: щёлкните по диаграмме, скопируйте и вставьте в Word как рисунок.</t>
        </is>
      </c>
    </row>
    <row r="4" ht="17" customHeight="1">
      <c r="A4" s="2" t="inlineStr">
        <is>
          <t xml:space="preserve">Данные для диаграммы средних</t>
        </is>
      </c>
      <c r="B4" s="2"/>
      <c r="C4" s="2"/>
      <c r="D4" s="2"/>
    </row>
    <row r="5" ht="17" customHeight="1">
      <c r="A5" s="9" t="inlineStr">
        <is>
          <t xml:space="preserve">Выборка</t>
        </is>
      </c>
      <c r="B5" s="9" t="inlineStr">
        <is>
          <t xml:space="preserve">Среднее</t>
        </is>
      </c>
      <c r="C5" s="9" t="inlineStr">
        <is>
          <t xml:space="preserve">Ошибка среднего</t>
        </is>
      </c>
    </row>
    <row r="6" ht="17" customHeight="1">
      <c r="A6" s="6" t="str">
        <f>Метка1</f>
      </c>
      <c r="B6" s="7">
        <f>IF(COUNT(Выборка1)=0,"",AVERAGE(Выборка1))</f>
      </c>
      <c r="C6" s="7">
        <f>IF(COUNT(Выборка1)&lt;2,"",STDEV(Выборка1)/SQRT(COUNT(Выборка1)))</f>
      </c>
    </row>
    <row r="7" ht="17" customHeight="1">
      <c r="A7" s="6" t="str">
        <f>Метка2</f>
      </c>
      <c r="B7" s="7">
        <f>IF(COUNT(Выборка2)=0,"",AVERAGE(Выборка2))</f>
      </c>
      <c r="C7" s="7">
        <f>IF(COUNT(Выборка2)&lt;2,"",STDEV(Выборка2)/SQRT(COUNT(Выборка2)))</f>
      </c>
    </row>
    <row r="9" ht="17" customHeight="1">
      <c r="A9" s="2" t="inlineStr">
        <is>
          <t xml:space="preserve">Данные для гистограммы распределения</t>
        </is>
      </c>
      <c r="B9" s="2"/>
      <c r="C9" s="2"/>
      <c r="D9" s="2"/>
    </row>
    <row r="10" ht="17" customHeight="1">
      <c r="A10" s="9" t="inlineStr">
        <is>
          <t xml:space="preserve">Интервал</t>
        </is>
      </c>
      <c r="B10" s="9" t="str">
        <f>"Сколько человек"</f>
      </c>
      <c r="C10" s="9"/>
    </row>
    <row r="11" ht="17" customHeight="1">
      <c r="A11" s="6" t="str">
        <f>IF(COUNT(Выборка1)&lt;2,"—",FIXED(MIN(Выборка1)+(MAX(Выборка1)-MIN(Выборка1))/7*0,1,TRUE)&amp;" – "&amp;FIXED(MIN(Выборка1)+(MAX(Выборка1)-MIN(Выборка1))/7*1,1,TRUE))</f>
      </c>
      <c r="B11" s="13">
        <f>IF(COUNT(Выборка1)&lt;2,"",COUNTIFS(Выборка1,"&gt;="&amp;MIN(Выборка1)+(MAX(Выборка1)-MIN(Выборка1))/7*0,Выборка1,"&lt;"&amp;MIN(Выборка1)+(MAX(Выборка1)-MIN(Выборка1))/7*1))</f>
      </c>
    </row>
    <row r="12" ht="17" customHeight="1">
      <c r="A12" s="6" t="str">
        <f>IF(COUNT(Выборка1)&lt;2,"—",FIXED(MIN(Выборка1)+(MAX(Выборка1)-MIN(Выборка1))/7*1,1,TRUE)&amp;" – "&amp;FIXED(MIN(Выборка1)+(MAX(Выборка1)-MIN(Выборка1))/7*2,1,TRUE))</f>
      </c>
      <c r="B12" s="13">
        <f>IF(COUNT(Выборка1)&lt;2,"",COUNTIFS(Выборка1,"&gt;="&amp;MIN(Выборка1)+(MAX(Выборка1)-MIN(Выборка1))/7*1,Выборка1,"&lt;"&amp;MIN(Выборка1)+(MAX(Выборка1)-MIN(Выборка1))/7*2))</f>
      </c>
    </row>
    <row r="13" ht="17" customHeight="1">
      <c r="A13" s="6" t="str">
        <f>IF(COUNT(Выборка1)&lt;2,"—",FIXED(MIN(Выборка1)+(MAX(Выборка1)-MIN(Выборка1))/7*2,1,TRUE)&amp;" – "&amp;FIXED(MIN(Выборка1)+(MAX(Выборка1)-MIN(Выборка1))/7*3,1,TRUE))</f>
      </c>
      <c r="B13" s="13">
        <f>IF(COUNT(Выборка1)&lt;2,"",COUNTIFS(Выборка1,"&gt;="&amp;MIN(Выборка1)+(MAX(Выборка1)-MIN(Выборка1))/7*2,Выборка1,"&lt;"&amp;MIN(Выборка1)+(MAX(Выборка1)-MIN(Выборка1))/7*3))</f>
      </c>
    </row>
    <row r="14" ht="17" customHeight="1">
      <c r="A14" s="6" t="str">
        <f>IF(COUNT(Выборка1)&lt;2,"—",FIXED(MIN(Выборка1)+(MAX(Выборка1)-MIN(Выборка1))/7*3,1,TRUE)&amp;" – "&amp;FIXED(MIN(Выборка1)+(MAX(Выборка1)-MIN(Выборка1))/7*4,1,TRUE))</f>
      </c>
      <c r="B14" s="13">
        <f>IF(COUNT(Выборка1)&lt;2,"",COUNTIFS(Выборка1,"&gt;="&amp;MIN(Выборка1)+(MAX(Выборка1)-MIN(Выборка1))/7*3,Выборка1,"&lt;"&amp;MIN(Выборка1)+(MAX(Выборка1)-MIN(Выборка1))/7*4))</f>
      </c>
    </row>
    <row r="15" ht="17" customHeight="1">
      <c r="A15" s="6" t="str">
        <f>IF(COUNT(Выборка1)&lt;2,"—",FIXED(MIN(Выборка1)+(MAX(Выборка1)-MIN(Выборка1))/7*4,1,TRUE)&amp;" – "&amp;FIXED(MIN(Выборка1)+(MAX(Выборка1)-MIN(Выборка1))/7*5,1,TRUE))</f>
      </c>
      <c r="B15" s="13">
        <f>IF(COUNT(Выборка1)&lt;2,"",COUNTIFS(Выборка1,"&gt;="&amp;MIN(Выборка1)+(MAX(Выборка1)-MIN(Выборка1))/7*4,Выборка1,"&lt;"&amp;MIN(Выборка1)+(MAX(Выборка1)-MIN(Выборка1))/7*5))</f>
      </c>
    </row>
    <row r="16" ht="17" customHeight="1">
      <c r="A16" s="6" t="str">
        <f>IF(COUNT(Выборка1)&lt;2,"—",FIXED(MIN(Выборка1)+(MAX(Выборка1)-MIN(Выборка1))/7*5,1,TRUE)&amp;" – "&amp;FIXED(MIN(Выборка1)+(MAX(Выборка1)-MIN(Выборка1))/7*6,1,TRUE))</f>
      </c>
      <c r="B16" s="13">
        <f>IF(COUNT(Выборка1)&lt;2,"",COUNTIFS(Выборка1,"&gt;="&amp;MIN(Выборка1)+(MAX(Выборка1)-MIN(Выборка1))/7*5,Выборка1,"&lt;"&amp;MIN(Выборка1)+(MAX(Выборка1)-MIN(Выборка1))/7*6))</f>
      </c>
    </row>
    <row r="17" ht="17" customHeight="1">
      <c r="A17" s="6" t="str">
        <f>IF(COUNT(Выборка1)&lt;2,"—",FIXED(MIN(Выборка1)+(MAX(Выборка1)-MIN(Выборка1))/7*6,1,TRUE)&amp;" – "&amp;FIXED(MIN(Выборка1)+(MAX(Выборка1)-MIN(Выборка1))/7*7,1,TRUE))</f>
      </c>
      <c r="B17" s="13">
        <f>IF(COUNT(Выборка1)&lt;2,"",COUNTIFS(Выборка1,"&gt;="&amp;MIN(Выборка1)+(MAX(Выборка1)-MIN(Выборка1))/7*6,Выборка1,"&lt;="&amp;MIN(Выборка1)+(MAX(Выборка1)-MIN(Выборка1))/7*7))</f>
      </c>
    </row>
    <row r="20" ht="17" customHeight="1">
      <c r="A20" s="2" t="inlineStr">
        <is>
          <t xml:space="preserve">Что показывает каждая диаграмма</t>
        </is>
      </c>
      <c r="B20" s="2"/>
      <c r="C20" s="2"/>
      <c r="D20" s="2"/>
    </row>
    <row r="21" ht="34" customHeight="1">
      <c r="A21" s="10" t="inlineStr">
        <is>
          <t xml:space="preserve">Диаграмма средних — сравнение двух выборок с усами ошибки среднего (M ± m). Именно её чаще всего вставляют в третью главу.</t>
        </is>
      </c>
    </row>
    <row r="22" ht="49" customHeight="1">
      <c r="A22" s="10" t="inlineStr">
        <is>
          <t xml:space="preserve">Гистограмма распределения — как часто встречаются те или иные значения в первой выборке. По ней видно, похоже ли распределение на нормальное.</t>
        </is>
      </c>
    </row>
    <row r="23" ht="34" customHeight="1">
      <c r="A23" s="10" t="inlineStr">
        <is>
          <t xml:space="preserve">Диаграмма рассеяния — связь между первой и второй выборкой. Линия тренда, её уравнение и R² выводятся автоматически.</t>
        </is>
      </c>
    </row>
    <row r="25" ht="17" customHeight="1">
      <c r="A25" s="2" t="inlineStr">
        <is>
          <t xml:space="preserve">Как оформить рисунок в дипломе</t>
        </is>
      </c>
      <c r="B25" s="2"/>
      <c r="C25" s="2"/>
      <c r="D25" s="2"/>
    </row>
    <row r="26" ht="34" customHeight="1">
      <c r="A26" s="10" t="inlineStr">
        <is>
          <t xml:space="preserve">Подпись размещается ПОД рисунком: «Рисунок 1 — Динамика показателя до и после эксперимента».</t>
        </is>
      </c>
    </row>
    <row r="27" ht="34" customHeight="1">
      <c r="A27" s="10" t="inlineStr">
        <is>
          <t xml:space="preserve">Оси обязательно подписываются: что отложено и в каких единицах.</t>
        </is>
      </c>
    </row>
    <row r="28" ht="34" customHeight="1">
      <c r="A28" s="10" t="inlineStr">
        <is>
          <t xml:space="preserve">Если ряд один, легенда не нужна — её лучше удалить, чтобы не занимала место.</t>
        </is>
      </c>
    </row>
    <row r="29" ht="34" customHeight="1">
      <c r="A29" s="10" t="inlineStr">
        <is>
          <t xml:space="preserve">Цвета лучше делать спокойными: диплом чаще печатают в чёрно-белом варианте.</t>
        </is>
      </c>
    </row>
    <row r="31" ht="17" customHeight="1">
      <c r="A31" s="2" t="inlineStr">
        <is>
          <t xml:space="preserve">Ящик с усами</t>
        </is>
      </c>
      <c r="B31" s="2"/>
      <c r="C31" s="2"/>
      <c r="D31" s="2"/>
    </row>
    <row r="32" ht="49" customHeight="1">
      <c r="A32" s="10" t="inlineStr">
        <is>
          <t xml:space="preserve">В версиях Excel до 2016 готового ящика с усами нет: его строят через биржевую диаграмму по пяти числам (минимум, Q1, медиана, Q3, максимум).</t>
        </is>
      </c>
    </row>
    <row r="33" ht="34" customHeight="1">
      <c r="A33" s="10" t="inlineStr">
        <is>
          <t xml:space="preserve">Все пять чисел уже посчитаны на листе «4. Описательная статистика» — их можно взять оттуда.</t>
        </is>
      </c>
    </row>
  </sheetData>
  <mergeCells count="16">
    <mergeCell ref="A1:D1"/>
    <mergeCell ref="A2:D2"/>
    <mergeCell ref="A4:D4"/>
    <mergeCell ref="A9:D9"/>
    <mergeCell ref="A20:D20"/>
    <mergeCell ref="A21:D21"/>
    <mergeCell ref="A22:D22"/>
    <mergeCell ref="A23:D23"/>
    <mergeCell ref="A25:D25"/>
    <mergeCell ref="A26:D26"/>
    <mergeCell ref="A27:D27"/>
    <mergeCell ref="A28:D28"/>
    <mergeCell ref="A29:D29"/>
    <mergeCell ref="A31:D31"/>
    <mergeCell ref="A32:D32"/>
    <mergeCell ref="A33:D33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808080"/>
  </sheetPr>
  <sheetViews>
    <sheetView workbookViewId="0" showGridLines="0">
      <pane xSplit="0" ySplit="4" topLeftCell="A5" activePane="bottomRight" state="frozen"/>
    </sheetView>
  </sheetViews>
  <sheetFormatPr defaultRowHeight="15"/>
  <cols>
    <col min="1" max="1" width="24.00" customWidth="1"/>
    <col min="2" max="2" width="20.00" customWidth="1"/>
    <col min="3" max="3" width="52.00" customWidth="1"/>
    <col min="4" max="4" width="48.94" customWidth="1"/>
  </cols>
  <sheetData>
    <row r="1" ht="17" customHeight="1">
      <c r="A1" s="1" t="inlineStr">
        <is>
          <t xml:space="preserve">Справочник статистических формул Excel</t>
        </is>
      </c>
    </row>
    <row r="2" ht="34" customHeight="1">
      <c r="A2" s="10" t="inlineStr">
        <is>
          <t xml:space="preserve">Русское название работает в русском Excel, английское — в английском и в Google Таблицах. Внутри файла Excel всегда хранит английские имена и подставляет нужный язык сам.</t>
        </is>
      </c>
    </row>
    <row r="4" ht="17" customHeight="1">
      <c r="A4" s="9" t="inlineStr">
        <is>
          <t xml:space="preserve">Функция (рус.)</t>
        </is>
      </c>
      <c r="B4" s="9" t="inlineStr">
        <is>
          <t xml:space="preserve">Функция (англ.)</t>
        </is>
      </c>
      <c r="C4" s="9" t="inlineStr">
        <is>
          <t xml:space="preserve">Что делает</t>
        </is>
      </c>
      <c r="D4" s="9" t="inlineStr">
        <is>
          <t xml:space="preserve">Пример</t>
        </is>
      </c>
    </row>
    <row r="5" ht="17" customHeight="1">
      <c r="A5" s="2" t="inlineStr">
        <is>
          <t xml:space="preserve">Описательная статистика</t>
        </is>
      </c>
    </row>
    <row r="6" ht="17" customHeight="1">
      <c r="A6" s="15" t="inlineStr">
        <is>
          <t xml:space="preserve">СЧЁТ</t>
        </is>
      </c>
      <c r="B6" s="6" t="inlineStr">
        <is>
          <t xml:space="preserve">COUNT</t>
        </is>
      </c>
      <c r="C6" s="10" t="inlineStr">
        <is>
          <t xml:space="preserve">Сколько чисел в диапазоне</t>
        </is>
      </c>
      <c r="D6" s="12" t="inlineStr">
        <is>
          <t xml:space="preserve">=СЧЁТ(B21:B140)</t>
        </is>
      </c>
    </row>
    <row r="7" ht="17" customHeight="1">
      <c r="A7" s="15" t="inlineStr">
        <is>
          <t xml:space="preserve">СРЗНАЧ</t>
        </is>
      </c>
      <c r="B7" s="6" t="inlineStr">
        <is>
          <t xml:space="preserve">AVERAGE</t>
        </is>
      </c>
      <c r="C7" s="10" t="inlineStr">
        <is>
          <t xml:space="preserve">Среднее арифметическое</t>
        </is>
      </c>
      <c r="D7" s="12" t="inlineStr">
        <is>
          <t xml:space="preserve">=СРЗНАЧ(B21:B140)</t>
        </is>
      </c>
    </row>
    <row r="8" ht="17" customHeight="1">
      <c r="A8" s="15" t="inlineStr">
        <is>
          <t xml:space="preserve">МЕДИАНА</t>
        </is>
      </c>
      <c r="B8" s="6" t="inlineStr">
        <is>
          <t xml:space="preserve">MEDIAN</t>
        </is>
      </c>
      <c r="C8" s="10" t="inlineStr">
        <is>
          <t xml:space="preserve">Значение ровно посередине ряда</t>
        </is>
      </c>
      <c r="D8" s="12" t="inlineStr">
        <is>
          <t xml:space="preserve">=МЕДИАНА(B21:B140)</t>
        </is>
      </c>
    </row>
    <row r="9" ht="17" customHeight="1">
      <c r="A9" s="15" t="inlineStr">
        <is>
          <t xml:space="preserve">МОДА</t>
        </is>
      </c>
      <c r="B9" s="6" t="inlineStr">
        <is>
          <t xml:space="preserve">MODE</t>
        </is>
      </c>
      <c r="C9" s="10" t="inlineStr">
        <is>
          <t xml:space="preserve">Самое частое значение</t>
        </is>
      </c>
      <c r="D9" s="12" t="inlineStr">
        <is>
          <t xml:space="preserve">=МОДА(B21:B140)</t>
        </is>
      </c>
    </row>
    <row r="10" ht="17" customHeight="1">
      <c r="A10" s="15" t="inlineStr">
        <is>
          <t xml:space="preserve">МИН / МАКС</t>
        </is>
      </c>
      <c r="B10" s="6" t="inlineStr">
        <is>
          <t xml:space="preserve">MIN / MAX</t>
        </is>
      </c>
      <c r="C10" s="10" t="inlineStr">
        <is>
          <t xml:space="preserve">Наименьшее и наибольшее значение</t>
        </is>
      </c>
      <c r="D10" s="12" t="inlineStr">
        <is>
          <t xml:space="preserve">=МИН(B21:B140)</t>
        </is>
      </c>
    </row>
    <row r="11" ht="17" customHeight="1">
      <c r="A11" s="15" t="inlineStr">
        <is>
          <t xml:space="preserve">КВАРТИЛЬ</t>
        </is>
      </c>
      <c r="B11" s="6" t="inlineStr">
        <is>
          <t xml:space="preserve">QUARTILE</t>
        </is>
      </c>
      <c r="C11" s="10" t="inlineStr">
        <is>
          <t xml:space="preserve">Квартиль: 1 — нижний, 2 — медиана, 3 — верхний</t>
        </is>
      </c>
      <c r="D11" s="12" t="inlineStr">
        <is>
          <t xml:space="preserve">=КВАРТИЛЬ(B21:B140;1)</t>
        </is>
      </c>
    </row>
    <row r="12" ht="17" customHeight="1">
      <c r="A12" s="15" t="inlineStr">
        <is>
          <t xml:space="preserve">ПЕРСЕНТИЛЬ</t>
        </is>
      </c>
      <c r="B12" s="6" t="inlineStr">
        <is>
          <t xml:space="preserve">PERCENTILE</t>
        </is>
      </c>
      <c r="C12" s="10" t="inlineStr">
        <is>
          <t xml:space="preserve">Процентиль: доля от 0 до 1</t>
        </is>
      </c>
      <c r="D12" s="12" t="inlineStr">
        <is>
          <t xml:space="preserve">=ПЕРСЕНТИЛЬ(B21:B140;0,9)</t>
        </is>
      </c>
    </row>
    <row r="13" ht="17" customHeight="1">
      <c r="A13" s="2" t="inlineStr">
        <is>
          <t xml:space="preserve">Разброс</t>
        </is>
      </c>
    </row>
    <row r="14" ht="34" customHeight="1">
      <c r="A14" s="15" t="inlineStr">
        <is>
          <t xml:space="preserve">СТАНДОТКЛОН</t>
        </is>
      </c>
      <c r="B14" s="6" t="inlineStr">
        <is>
          <t xml:space="preserve">STDEV</t>
        </is>
      </c>
      <c r="C14" s="10" t="inlineStr">
        <is>
          <t xml:space="preserve">Стандартное отклонение по выборке — этот вариант нужен в дипломе</t>
        </is>
      </c>
      <c r="D14" s="12" t="inlineStr">
        <is>
          <t xml:space="preserve">=СТАНДОТКЛОН(B21:B140)</t>
        </is>
      </c>
    </row>
    <row r="15" ht="34" customHeight="1">
      <c r="A15" s="15" t="inlineStr">
        <is>
          <t xml:space="preserve">СТАНДОТКЛОНП</t>
        </is>
      </c>
      <c r="B15" s="6" t="inlineStr">
        <is>
          <t xml:space="preserve">STDEVP</t>
        </is>
      </c>
      <c r="C15" s="10" t="inlineStr">
        <is>
          <t xml:space="preserve">Отклонение по генеральной совокупности — только если измерены все</t>
        </is>
      </c>
      <c r="D15" s="12" t="inlineStr">
        <is>
          <t xml:space="preserve">=СТАНДОТКЛОНП(B21:B140)</t>
        </is>
      </c>
    </row>
    <row r="16" ht="17" customHeight="1">
      <c r="A16" s="15" t="inlineStr">
        <is>
          <t xml:space="preserve">ДИСП</t>
        </is>
      </c>
      <c r="B16" s="6" t="inlineStr">
        <is>
          <t xml:space="preserve">VAR</t>
        </is>
      </c>
      <c r="C16" s="10" t="inlineStr">
        <is>
          <t xml:space="preserve">Дисперсия по выборке</t>
        </is>
      </c>
      <c r="D16" s="12" t="inlineStr">
        <is>
          <t xml:space="preserve">=ДИСП(B21:B140)</t>
        </is>
      </c>
    </row>
    <row r="17" ht="17" customHeight="1">
      <c r="A17" s="15" t="inlineStr">
        <is>
          <t xml:space="preserve">СКОС</t>
        </is>
      </c>
      <c r="B17" s="6" t="inlineStr">
        <is>
          <t xml:space="preserve">SKEW</t>
        </is>
      </c>
      <c r="C17" s="10" t="inlineStr">
        <is>
          <t xml:space="preserve">Асимметрия: перекос распределения</t>
        </is>
      </c>
      <c r="D17" s="12" t="inlineStr">
        <is>
          <t xml:space="preserve">=СКОС(B21:B140)</t>
        </is>
      </c>
    </row>
    <row r="18" ht="17" customHeight="1">
      <c r="A18" s="15" t="inlineStr">
        <is>
          <t xml:space="preserve">ЭКСЦЕСС</t>
        </is>
      </c>
      <c r="B18" s="6" t="inlineStr">
        <is>
          <t xml:space="preserve">KURT</t>
        </is>
      </c>
      <c r="C18" s="10" t="inlineStr">
        <is>
          <t xml:space="preserve">Эксцесс: острота пика</t>
        </is>
      </c>
      <c r="D18" s="12" t="inlineStr">
        <is>
          <t xml:space="preserve">=ЭКСЦЕСС(B21:B140)</t>
        </is>
      </c>
    </row>
    <row r="19" ht="17" customHeight="1">
      <c r="A19" s="2" t="inlineStr">
        <is>
          <t xml:space="preserve">Сравнение групп</t>
        </is>
      </c>
    </row>
    <row r="20" ht="49" customHeight="1">
      <c r="A20" s="15" t="inlineStr">
        <is>
          <t xml:space="preserve">ТТЕСТ</t>
        </is>
      </c>
      <c r="B20" s="6" t="inlineStr">
        <is>
          <t xml:space="preserve">TTEST</t>
        </is>
      </c>
      <c r="C20" s="10" t="inlineStr">
        <is>
          <t xml:space="preserve">Готовое p для t-критерия. Третий аргумент 2 — двусторонний; четвёртый: 1 парный, 2 равные дисперсии, 3 неравные</t>
        </is>
      </c>
      <c r="D20" s="12" t="inlineStr">
        <is>
          <t xml:space="preserve">=ТТЕСТ(B21:B140;C21:C140;2;1)</t>
        </is>
      </c>
    </row>
    <row r="21" ht="17" customHeight="1">
      <c r="A21" s="15" t="inlineStr">
        <is>
          <t xml:space="preserve">СТЬЮДРАСП</t>
        </is>
      </c>
      <c r="B21" s="6" t="inlineStr">
        <is>
          <t xml:space="preserve">TDIST</t>
        </is>
      </c>
      <c r="C21" s="10" t="inlineStr">
        <is>
          <t xml:space="preserve">p по известному t и числу степеней свободы</t>
        </is>
      </c>
      <c r="D21" s="12" t="inlineStr">
        <is>
          <t xml:space="preserve">=СТЬЮДРАСП(2,45;28;2)</t>
        </is>
      </c>
    </row>
    <row r="22" ht="17" customHeight="1">
      <c r="A22" s="15" t="inlineStr">
        <is>
          <t xml:space="preserve">СТЬЮДРАСПОБР</t>
        </is>
      </c>
      <c r="B22" s="6" t="inlineStr">
        <is>
          <t xml:space="preserve">TINV</t>
        </is>
      </c>
      <c r="C22" s="10" t="inlineStr">
        <is>
          <t xml:space="preserve">Критическое t по уровню значимости</t>
        </is>
      </c>
      <c r="D22" s="12" t="inlineStr">
        <is>
          <t xml:space="preserve">=СТЬЮДРАСПОБР(0,05;28)</t>
        </is>
      </c>
    </row>
    <row r="23" ht="17" customHeight="1">
      <c r="A23" s="15" t="inlineStr">
        <is>
          <t xml:space="preserve">ФТЕСТ</t>
        </is>
      </c>
      <c r="B23" s="6" t="inlineStr">
        <is>
          <t xml:space="preserve">FTEST</t>
        </is>
      </c>
      <c r="C23" s="10" t="inlineStr">
        <is>
          <t xml:space="preserve">Сравнение двух дисперсий</t>
        </is>
      </c>
      <c r="D23" s="12" t="inlineStr">
        <is>
          <t xml:space="preserve">=ФТЕСТ(B21:B140;C21:C140)</t>
        </is>
      </c>
    </row>
    <row r="24" ht="17" customHeight="1">
      <c r="A24" s="15" t="inlineStr">
        <is>
          <t xml:space="preserve">ХИ2ТЕСТ</t>
        </is>
      </c>
      <c r="B24" s="6" t="inlineStr">
        <is>
          <t xml:space="preserve">CHITEST</t>
        </is>
      </c>
      <c r="C24" s="10" t="inlineStr">
        <is>
          <t xml:space="preserve">p для χ² по фактическим и ожидаемым частотам</t>
        </is>
      </c>
      <c r="D24" s="12" t="inlineStr">
        <is>
          <t xml:space="preserve">=ХИ2ТЕСТ(B5:C6;B10:C11)</t>
        </is>
      </c>
    </row>
    <row r="25" ht="17" customHeight="1">
      <c r="A25" s="15" t="inlineStr">
        <is>
          <t xml:space="preserve">ХИ2ОБР</t>
        </is>
      </c>
      <c r="B25" s="6" t="inlineStr">
        <is>
          <t xml:space="preserve">CHIINV</t>
        </is>
      </c>
      <c r="C25" s="10" t="inlineStr">
        <is>
          <t xml:space="preserve">Критическое χ²</t>
        </is>
      </c>
      <c r="D25" s="12" t="inlineStr">
        <is>
          <t xml:space="preserve">=ХИ2ОБР(0,05;1)</t>
        </is>
      </c>
    </row>
    <row r="26" ht="17" customHeight="1">
      <c r="A26" s="15" t="inlineStr">
        <is>
          <t xml:space="preserve">НОРМСТРАСП</t>
        </is>
      </c>
      <c r="B26" s="6" t="inlineStr">
        <is>
          <t xml:space="preserve">NORMSDIST</t>
        </is>
      </c>
      <c r="C26" s="10" t="inlineStr">
        <is>
          <t xml:space="preserve">Вероятность по значению z</t>
        </is>
      </c>
      <c r="D26" s="12" t="inlineStr">
        <is>
          <t xml:space="preserve">=НОРМСТРАСП(1,96)</t>
        </is>
      </c>
    </row>
    <row r="27" ht="17" customHeight="1">
      <c r="A27" s="2" t="inlineStr">
        <is>
          <t xml:space="preserve">Связи и предсказание</t>
        </is>
      </c>
    </row>
    <row r="28" ht="17" customHeight="1">
      <c r="A28" s="15" t="inlineStr">
        <is>
          <t xml:space="preserve">КОРРЕЛ</t>
        </is>
      </c>
      <c r="B28" s="6" t="inlineStr">
        <is>
          <t xml:space="preserve">CORREL</t>
        </is>
      </c>
      <c r="C28" s="10" t="inlineStr">
        <is>
          <t xml:space="preserve">Коэффициент корреляции Пирсона</t>
        </is>
      </c>
      <c r="D28" s="12" t="inlineStr">
        <is>
          <t xml:space="preserve">=КОРРЕЛ(B21:B140;C21:C140)</t>
        </is>
      </c>
    </row>
    <row r="29" ht="34" customHeight="1">
      <c r="A29" s="15" t="inlineStr">
        <is>
          <t xml:space="preserve">НАКЛОН</t>
        </is>
      </c>
      <c r="B29" s="6" t="inlineStr">
        <is>
          <t xml:space="preserve">SLOPE</t>
        </is>
      </c>
      <c r="C29" s="10" t="inlineStr">
        <is>
          <t xml:space="preserve">Коэффициент b в уравнении регрессии. Сначала y, потом x</t>
        </is>
      </c>
      <c r="D29" s="12" t="inlineStr">
        <is>
          <t xml:space="preserve">=НАКЛОН(C21:C140;B21:B140)</t>
        </is>
      </c>
    </row>
    <row r="30" ht="17" customHeight="1">
      <c r="A30" s="15" t="inlineStr">
        <is>
          <t xml:space="preserve">ОТРЕЗОК</t>
        </is>
      </c>
      <c r="B30" s="6" t="inlineStr">
        <is>
          <t xml:space="preserve">INTERCEPT</t>
        </is>
      </c>
      <c r="C30" s="10" t="inlineStr">
        <is>
          <t xml:space="preserve">Свободный член a</t>
        </is>
      </c>
      <c r="D30" s="12" t="inlineStr">
        <is>
          <t xml:space="preserve">=ОТРЕЗОК(C21:C140;B21:B140)</t>
        </is>
      </c>
    </row>
    <row r="31" ht="17" customHeight="1">
      <c r="A31" s="15" t="inlineStr">
        <is>
          <t xml:space="preserve">КВПИРСОН</t>
        </is>
      </c>
      <c r="B31" s="6" t="inlineStr">
        <is>
          <t xml:space="preserve">RSQ</t>
        </is>
      </c>
      <c r="C31" s="10" t="inlineStr">
        <is>
          <t xml:space="preserve">Коэффициент детерминации R²</t>
        </is>
      </c>
      <c r="D31" s="12" t="inlineStr">
        <is>
          <t xml:space="preserve">=КВПИРСОН(C21:C140;B21:B140)</t>
        </is>
      </c>
    </row>
    <row r="32" ht="17" customHeight="1">
      <c r="A32" s="15" t="inlineStr">
        <is>
          <t xml:space="preserve">СТОШYX</t>
        </is>
      </c>
      <c r="B32" s="6" t="inlineStr">
        <is>
          <t xml:space="preserve">STEYX</t>
        </is>
      </c>
      <c r="C32" s="10" t="inlineStr">
        <is>
          <t xml:space="preserve">Стандартная ошибка предсказания</t>
        </is>
      </c>
      <c r="D32" s="12" t="inlineStr">
        <is>
          <t xml:space="preserve">=СТОШYX(C21:C140;B21:B140)</t>
        </is>
      </c>
    </row>
    <row r="33" ht="17" customHeight="1">
      <c r="A33" s="2" t="inlineStr">
        <is>
          <t xml:space="preserve">Ранги и подсчёт по условию</t>
        </is>
      </c>
    </row>
    <row r="34" ht="34" customHeight="1">
      <c r="A34" s="15" t="inlineStr">
        <is>
          <t xml:space="preserve">РАНГ</t>
        </is>
      </c>
      <c r="B34" s="6" t="inlineStr">
        <is>
          <t xml:space="preserve">RANK</t>
        </is>
      </c>
      <c r="C34" s="10" t="inlineStr">
        <is>
          <t xml:space="preserve">Место значения в ряду. Третий аргумент 1 — по возрастанию</t>
        </is>
      </c>
      <c r="D34" s="12" t="inlineStr">
        <is>
          <t xml:space="preserve">=РАНГ(B21;B21:B140;1)</t>
        </is>
      </c>
    </row>
    <row r="35" ht="17" customHeight="1">
      <c r="A35" s="15" t="inlineStr">
        <is>
          <t xml:space="preserve">СЧЁТЕСЛИ</t>
        </is>
      </c>
      <c r="B35" s="6" t="inlineStr">
        <is>
          <t xml:space="preserve">COUNTIF</t>
        </is>
      </c>
      <c r="C35" s="10" t="inlineStr">
        <is>
          <t xml:space="preserve">Сколько значений удовлетворяют условию</t>
        </is>
      </c>
      <c r="D35" s="12" t="inlineStr">
        <is>
          <t xml:space="preserve">=СЧЁТЕСЛИ(B21:B140;"&gt;50")</t>
        </is>
      </c>
    </row>
    <row r="36" ht="17" customHeight="1">
      <c r="A36" s="15" t="inlineStr">
        <is>
          <t xml:space="preserve">СЧЁТЕСЛИМН</t>
        </is>
      </c>
      <c r="B36" s="6" t="inlineStr">
        <is>
          <t xml:space="preserve">COUNTIFS</t>
        </is>
      </c>
      <c r="C36" s="10" t="inlineStr">
        <is>
          <t xml:space="preserve">То же по нескольким условиям сразу</t>
        </is>
      </c>
      <c r="D36" s="12" t="inlineStr">
        <is>
          <t xml:space="preserve">=СЧЁТЕСЛИМН(B21:B140;"&gt;=10";B21:B140;"&lt;20")</t>
        </is>
      </c>
    </row>
    <row r="37" ht="17" customHeight="1">
      <c r="A37" s="15" t="inlineStr">
        <is>
          <t xml:space="preserve">СУММЕСЛИ</t>
        </is>
      </c>
      <c r="B37" s="6" t="inlineStr">
        <is>
          <t xml:space="preserve">SUMIF</t>
        </is>
      </c>
      <c r="C37" s="10" t="inlineStr">
        <is>
          <t xml:space="preserve">Сумма значений по условию</t>
        </is>
      </c>
      <c r="D37" s="12" t="inlineStr">
        <is>
          <t xml:space="preserve">=СУММЕСЛИ(A21:A140;1;B21:B140)</t>
        </is>
      </c>
    </row>
    <row r="38" ht="17" customHeight="1">
      <c r="A38" s="15" t="inlineStr">
        <is>
          <t xml:space="preserve">СУММПРОИЗВ</t>
        </is>
      </c>
      <c r="B38" s="6" t="inlineStr">
        <is>
          <t xml:space="preserve">SUMPRODUCT</t>
        </is>
      </c>
      <c r="C38" s="10" t="inlineStr">
        <is>
          <t xml:space="preserve">Сумма произведений — заменяет формулы массива</t>
        </is>
      </c>
      <c r="D38" s="12" t="inlineStr">
        <is>
          <t xml:space="preserve">=СУММПРОИЗВ((B21:B140&gt;50)*1)</t>
        </is>
      </c>
    </row>
    <row r="39" ht="17" customHeight="1">
      <c r="A39" s="15" t="inlineStr">
        <is>
          <t xml:space="preserve">СРЗНАЧЕСЛИ</t>
        </is>
      </c>
      <c r="B39" s="6" t="inlineStr">
        <is>
          <t xml:space="preserve">AVERAGEIF</t>
        </is>
      </c>
      <c r="C39" s="10" t="inlineStr">
        <is>
          <t xml:space="preserve">Среднее по условию</t>
        </is>
      </c>
      <c r="D39" s="12" t="inlineStr">
        <is>
          <t xml:space="preserve">=СРЗНАЧЕСЛИ(A21:A140;1;B21:B140)</t>
        </is>
      </c>
    </row>
    <row r="40" ht="17" customHeight="1">
      <c r="A40" s="2" t="inlineStr">
        <is>
          <t xml:space="preserve">Оформление</t>
        </is>
      </c>
    </row>
    <row r="41" ht="17" customHeight="1">
      <c r="A41" s="15" t="inlineStr">
        <is>
          <t xml:space="preserve">ОКРУГЛ</t>
        </is>
      </c>
      <c r="B41" s="6" t="inlineStr">
        <is>
          <t xml:space="preserve">ROUND</t>
        </is>
      </c>
      <c r="C41" s="10" t="inlineStr">
        <is>
          <t xml:space="preserve">Округление до нужного числа знаков</t>
        </is>
      </c>
      <c r="D41" s="12" t="inlineStr">
        <is>
          <t xml:space="preserve">=ОКРУГЛ(B21;2)</t>
        </is>
      </c>
    </row>
    <row r="42" ht="17" customHeight="1">
      <c r="A42" s="15" t="inlineStr">
        <is>
          <t xml:space="preserve">ФИКСИРОВАННЫЙ</t>
        </is>
      </c>
      <c r="B42" s="6" t="inlineStr">
        <is>
          <t xml:space="preserve">FIXED</t>
        </is>
      </c>
      <c r="C42" s="10" t="inlineStr">
        <is>
          <t xml:space="preserve">Число как текст с фиксированными знаками</t>
        </is>
      </c>
      <c r="D42" s="12" t="inlineStr">
        <is>
          <t xml:space="preserve">=ФИКСИРОВАННЫЙ(B21;2)</t>
        </is>
      </c>
    </row>
    <row r="43" ht="17" customHeight="1">
      <c r="A43" s="15" t="inlineStr">
        <is>
          <t xml:space="preserve">ЕСЛИ</t>
        </is>
      </c>
      <c r="B43" s="6" t="inlineStr">
        <is>
          <t xml:space="preserve">IF</t>
        </is>
      </c>
      <c r="C43" s="10" t="inlineStr">
        <is>
          <t xml:space="preserve">Выбор одного из двух значений по условию</t>
        </is>
      </c>
      <c r="D43" s="12" t="inlineStr">
        <is>
          <t xml:space="preserve">=ЕСЛИ(B21&gt;50;"высокий";"низкий")</t>
        </is>
      </c>
    </row>
    <row r="44" ht="17" customHeight="1">
      <c r="A44" s="15" t="inlineStr">
        <is>
          <t xml:space="preserve">ЕСЛИОШИБКА</t>
        </is>
      </c>
      <c r="B44" s="6" t="inlineStr">
        <is>
          <t xml:space="preserve">IFERROR</t>
        </is>
      </c>
      <c r="C44" s="10" t="inlineStr">
        <is>
          <t xml:space="preserve">Что показать вместо ошибки</t>
        </is>
      </c>
      <c r="D44" s="12" t="inlineStr">
        <is>
          <t xml:space="preserve">=ЕСЛИОШИБКА(B21/C21;"—")</t>
        </is>
      </c>
    </row>
    <row r="45" ht="17" customHeight="1">
      <c r="A45" s="15" t="inlineStr">
        <is>
          <t xml:space="preserve">ВПР</t>
        </is>
      </c>
      <c r="B45" s="6" t="inlineStr">
        <is>
          <t xml:space="preserve">VLOOKUP</t>
        </is>
      </c>
      <c r="C45" s="10" t="inlineStr">
        <is>
          <t xml:space="preserve">Найти значение в таблице по ключу</t>
        </is>
      </c>
      <c r="D45" s="12" t="inlineStr">
        <is>
          <t xml:space="preserve">=ВПР(B21;$F$2:$G$10;2;ЛОЖЬ)</t>
        </is>
      </c>
    </row>
    <row r="47" ht="17" customHeight="1">
      <c r="A47" s="10" t="inlineStr">
        <is>
          <t xml:space="preserve">Разделитель аргументов в русском Excel — точка с запятой, в английском — запятая.</t>
        </is>
      </c>
    </row>
    <row r="48" ht="34" customHeight="1">
      <c r="A48" s="10" t="inlineStr">
        <is>
          <t xml:space="preserve">Функции с точкой в имени (СТАНДОТКЛОН.В, СТЬЮДЕНТ.ТЕСТ) появились в Excel 2010 и не работают в старых версиях. В этом файле намеренно используются классические имена — они работают везде.</t>
        </is>
      </c>
    </row>
  </sheetData>
  <mergeCells count="10">
    <mergeCell ref="A1:D1"/>
    <mergeCell ref="A2:D2"/>
    <mergeCell ref="A5:D5"/>
    <mergeCell ref="A13:D13"/>
    <mergeCell ref="A19:D19"/>
    <mergeCell ref="A27:D27"/>
    <mergeCell ref="A33:D33"/>
    <mergeCell ref="A40:D40"/>
    <mergeCell ref="A47:D47"/>
    <mergeCell ref="A48:D48"/>
  </mergeCell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808080"/>
  </sheetPr>
  <sheetViews>
    <sheetView workbookViewId="0" showGridLines="0"/>
  </sheetViews>
  <sheetFormatPr defaultRowHeight="15"/>
  <cols>
    <col min="1" max="1" width="10.06" customWidth="1"/>
    <col min="2" max="2" width="18.70" customWidth="1"/>
    <col min="3" max="3" width="18.70" customWidth="1"/>
    <col min="4" max="4" width="18.70" customWidth="1"/>
    <col min="5" max="5" width="18.70" customWidth="1"/>
    <col min="6" max="6" width="12.00" customWidth="1"/>
    <col min="7" max="7" width="52.00" customWidth="1"/>
    <col min="8" max="8" width="40.00" customWidth="1"/>
    <col min="9" max="9" width="9.00" customWidth="1"/>
    <col min="10" max="10" width="9.00" customWidth="1"/>
    <col min="11" max="11" width="9.00" customWidth="1"/>
    <col min="12" max="12" width="9.00" customWidth="1"/>
    <col min="13" max="13" width="9.00" customWidth="1"/>
    <col min="14" max="14" width="9.00" customWidth="1"/>
    <col min="15" max="15" width="9.00" customWidth="1"/>
    <col min="16" max="16" width="9.00" customWidth="1"/>
    <col min="17" max="17" width="9.00" customWidth="1"/>
    <col min="18" max="18" width="9.00" customWidth="1"/>
    <col min="19" max="19" width="9.00" customWidth="1"/>
  </cols>
  <sheetData>
    <row r="1" ht="17" customHeight="1">
      <c r="A1" s="1" t="inlineStr">
        <is>
          <t xml:space="preserve">Критические значения</t>
        </is>
      </c>
    </row>
    <row r="2" ht="17" customHeight="1">
      <c r="A2" s="10" t="inlineStr">
        <is>
          <t xml:space="preserve">Значения U и T рассчитаны точным перебором распределения — так же, как в классических статистических таблицах.</t>
        </is>
      </c>
    </row>
    <row r="4" ht="17" customHeight="1">
      <c r="A4" s="2" t="inlineStr">
        <is>
          <t xml:space="preserve">t-Стьюдента и χ² (α = 0,05 и 0,01)</t>
        </is>
      </c>
      <c r="G4" s="2" t="inlineStr">
        <is>
          <t xml:space="preserve">T Вилкоксона (α = 0,05)</t>
        </is>
      </c>
    </row>
    <row r="5" ht="17" customHeight="1">
      <c r="A5" s="9" t="inlineStr">
        <is>
          <t xml:space="preserve">df</t>
        </is>
      </c>
      <c r="B5" s="9" t="inlineStr">
        <is>
          <t xml:space="preserve">t (0,05)</t>
        </is>
      </c>
      <c r="C5" s="9" t="inlineStr">
        <is>
          <t xml:space="preserve">t (0,01)</t>
        </is>
      </c>
      <c r="D5" s="9" t="inlineStr">
        <is>
          <t xml:space="preserve">χ² (0,05)</t>
        </is>
      </c>
      <c r="E5" s="9" t="inlineStr">
        <is>
          <t xml:space="preserve">χ² (0,01)</t>
        </is>
      </c>
      <c r="G5" s="9" t="inlineStr">
        <is>
          <t xml:space="preserve">n</t>
        </is>
      </c>
      <c r="H5" s="9" t="inlineStr">
        <is>
          <t xml:space="preserve">T крит.</t>
        </is>
      </c>
    </row>
    <row r="6" ht="17" customHeight="1">
      <c r="A6" s="6">
        <v>1</v>
      </c>
      <c r="B6" s="8">
        <f>TINV(0.05,1)</f>
      </c>
      <c r="C6" s="8">
        <f>TINV(0.01,1)</f>
      </c>
      <c r="D6" s="8">
        <f>CHIINV(0.05,1)</f>
      </c>
      <c r="E6" s="8">
        <f>CHIINV(0.01,1)</f>
      </c>
      <c r="G6" s="6">
        <v>5</v>
      </c>
      <c r="H6" s="6" t="inlineStr">
        <is>
          <t xml:space="preserve">—</t>
        </is>
      </c>
    </row>
    <row r="7" ht="17" customHeight="1">
      <c r="A7" s="6">
        <v>2</v>
      </c>
      <c r="B7" s="8">
        <f>TINV(0.05,2)</f>
      </c>
      <c r="C7" s="8">
        <f>TINV(0.01,2)</f>
      </c>
      <c r="D7" s="8">
        <f>CHIINV(0.05,2)</f>
      </c>
      <c r="E7" s="8">
        <f>CHIINV(0.01,2)</f>
      </c>
      <c r="G7" s="6">
        <v>6</v>
      </c>
      <c r="H7" s="6">
        <v>0</v>
      </c>
    </row>
    <row r="8" ht="17" customHeight="1">
      <c r="A8" s="6">
        <v>3</v>
      </c>
      <c r="B8" s="8">
        <f>TINV(0.05,3)</f>
      </c>
      <c r="C8" s="8">
        <f>TINV(0.01,3)</f>
      </c>
      <c r="D8" s="8">
        <f>CHIINV(0.05,3)</f>
      </c>
      <c r="E8" s="8">
        <f>CHIINV(0.01,3)</f>
      </c>
      <c r="G8" s="6">
        <v>7</v>
      </c>
      <c r="H8" s="6">
        <v>2</v>
      </c>
    </row>
    <row r="9" ht="17" customHeight="1">
      <c r="A9" s="6">
        <v>4</v>
      </c>
      <c r="B9" s="8">
        <f>TINV(0.05,4)</f>
      </c>
      <c r="C9" s="8">
        <f>TINV(0.01,4)</f>
      </c>
      <c r="D9" s="8">
        <f>CHIINV(0.05,4)</f>
      </c>
      <c r="E9" s="8">
        <f>CHIINV(0.01,4)</f>
      </c>
      <c r="G9" s="6">
        <v>8</v>
      </c>
      <c r="H9" s="6">
        <v>3</v>
      </c>
    </row>
    <row r="10" ht="17" customHeight="1">
      <c r="A10" s="6">
        <v>5</v>
      </c>
      <c r="B10" s="8">
        <f>TINV(0.05,5)</f>
      </c>
      <c r="C10" s="8">
        <f>TINV(0.01,5)</f>
      </c>
      <c r="D10" s="8">
        <f>CHIINV(0.05,5)</f>
      </c>
      <c r="E10" s="8">
        <f>CHIINV(0.01,5)</f>
      </c>
      <c r="G10" s="6">
        <v>9</v>
      </c>
      <c r="H10" s="6">
        <v>5</v>
      </c>
    </row>
    <row r="11" ht="17" customHeight="1">
      <c r="A11" s="6">
        <v>6</v>
      </c>
      <c r="B11" s="8">
        <f>TINV(0.05,6)</f>
      </c>
      <c r="C11" s="8">
        <f>TINV(0.01,6)</f>
      </c>
      <c r="D11" s="8">
        <f>CHIINV(0.05,6)</f>
      </c>
      <c r="E11" s="8">
        <f>CHIINV(0.01,6)</f>
      </c>
      <c r="G11" s="6">
        <v>10</v>
      </c>
      <c r="H11" s="6">
        <v>8</v>
      </c>
    </row>
    <row r="12" ht="17" customHeight="1">
      <c r="A12" s="6">
        <v>7</v>
      </c>
      <c r="B12" s="8">
        <f>TINV(0.05,7)</f>
      </c>
      <c r="C12" s="8">
        <f>TINV(0.01,7)</f>
      </c>
      <c r="D12" s="8">
        <f>CHIINV(0.05,7)</f>
      </c>
      <c r="E12" s="8">
        <f>CHIINV(0.01,7)</f>
      </c>
      <c r="G12" s="6">
        <v>11</v>
      </c>
      <c r="H12" s="6">
        <v>10</v>
      </c>
    </row>
    <row r="13" ht="17" customHeight="1">
      <c r="A13" s="6">
        <v>8</v>
      </c>
      <c r="B13" s="8">
        <f>TINV(0.05,8)</f>
      </c>
      <c r="C13" s="8">
        <f>TINV(0.01,8)</f>
      </c>
      <c r="D13" s="8">
        <f>CHIINV(0.05,8)</f>
      </c>
      <c r="E13" s="8">
        <f>CHIINV(0.01,8)</f>
      </c>
      <c r="G13" s="6">
        <v>12</v>
      </c>
      <c r="H13" s="6">
        <v>13</v>
      </c>
    </row>
    <row r="14" ht="17" customHeight="1">
      <c r="A14" s="6">
        <v>9</v>
      </c>
      <c r="B14" s="8">
        <f>TINV(0.05,9)</f>
      </c>
      <c r="C14" s="8">
        <f>TINV(0.01,9)</f>
      </c>
      <c r="D14" s="8">
        <f>CHIINV(0.05,9)</f>
      </c>
      <c r="E14" s="8">
        <f>CHIINV(0.01,9)</f>
      </c>
      <c r="G14" s="6">
        <v>13</v>
      </c>
      <c r="H14" s="6">
        <v>17</v>
      </c>
    </row>
    <row r="15" ht="17" customHeight="1">
      <c r="A15" s="6">
        <v>10</v>
      </c>
      <c r="B15" s="8">
        <f>TINV(0.05,10)</f>
      </c>
      <c r="C15" s="8">
        <f>TINV(0.01,10)</f>
      </c>
      <c r="D15" s="8">
        <f>CHIINV(0.05,10)</f>
      </c>
      <c r="E15" s="8">
        <f>CHIINV(0.01,10)</f>
      </c>
      <c r="G15" s="6">
        <v>14</v>
      </c>
      <c r="H15" s="6">
        <v>21</v>
      </c>
    </row>
    <row r="16" ht="17" customHeight="1">
      <c r="A16" s="6">
        <v>11</v>
      </c>
      <c r="B16" s="8">
        <f>TINV(0.05,11)</f>
      </c>
      <c r="C16" s="8">
        <f>TINV(0.01,11)</f>
      </c>
      <c r="D16" s="8">
        <f>CHIINV(0.05,11)</f>
      </c>
      <c r="E16" s="8">
        <f>CHIINV(0.01,11)</f>
      </c>
      <c r="G16" s="6">
        <v>15</v>
      </c>
      <c r="H16" s="6">
        <v>25</v>
      </c>
    </row>
    <row r="17" ht="17" customHeight="1">
      <c r="A17" s="6">
        <v>12</v>
      </c>
      <c r="B17" s="8">
        <f>TINV(0.05,12)</f>
      </c>
      <c r="C17" s="8">
        <f>TINV(0.01,12)</f>
      </c>
      <c r="D17" s="8">
        <f>CHIINV(0.05,12)</f>
      </c>
      <c r="E17" s="8">
        <f>CHIINV(0.01,12)</f>
      </c>
      <c r="G17" s="6">
        <v>16</v>
      </c>
      <c r="H17" s="6">
        <v>29</v>
      </c>
    </row>
    <row r="18" ht="17" customHeight="1">
      <c r="A18" s="6">
        <v>13</v>
      </c>
      <c r="B18" s="8">
        <f>TINV(0.05,13)</f>
      </c>
      <c r="C18" s="8">
        <f>TINV(0.01,13)</f>
      </c>
      <c r="D18" s="8">
        <f>CHIINV(0.05,13)</f>
      </c>
      <c r="E18" s="8">
        <f>CHIINV(0.01,13)</f>
      </c>
      <c r="G18" s="6">
        <v>17</v>
      </c>
      <c r="H18" s="6">
        <v>34</v>
      </c>
    </row>
    <row r="19" ht="17" customHeight="1">
      <c r="A19" s="6">
        <v>14</v>
      </c>
      <c r="B19" s="8">
        <f>TINV(0.05,14)</f>
      </c>
      <c r="C19" s="8">
        <f>TINV(0.01,14)</f>
      </c>
      <c r="D19" s="8">
        <f>CHIINV(0.05,14)</f>
      </c>
      <c r="E19" s="8">
        <f>CHIINV(0.01,14)</f>
      </c>
      <c r="G19" s="6">
        <v>18</v>
      </c>
      <c r="H19" s="6">
        <v>40</v>
      </c>
    </row>
    <row r="20" ht="17" customHeight="1">
      <c r="A20" s="6">
        <v>15</v>
      </c>
      <c r="B20" s="8">
        <f>TINV(0.05,15)</f>
      </c>
      <c r="C20" s="8">
        <f>TINV(0.01,15)</f>
      </c>
      <c r="D20" s="8">
        <f>CHIINV(0.05,15)</f>
      </c>
      <c r="E20" s="8">
        <f>CHIINV(0.01,15)</f>
      </c>
      <c r="G20" s="6">
        <v>19</v>
      </c>
      <c r="H20" s="6">
        <v>46</v>
      </c>
    </row>
    <row r="21" ht="17" customHeight="1">
      <c r="A21" s="6">
        <v>16</v>
      </c>
      <c r="B21" s="8">
        <f>TINV(0.05,16)</f>
      </c>
      <c r="C21" s="8">
        <f>TINV(0.01,16)</f>
      </c>
      <c r="D21" s="8">
        <f>CHIINV(0.05,16)</f>
      </c>
      <c r="E21" s="8">
        <f>CHIINV(0.01,16)</f>
      </c>
      <c r="G21" s="6">
        <v>20</v>
      </c>
      <c r="H21" s="6">
        <v>52</v>
      </c>
    </row>
    <row r="22" ht="17" customHeight="1">
      <c r="A22" s="6">
        <v>17</v>
      </c>
      <c r="B22" s="8">
        <f>TINV(0.05,17)</f>
      </c>
      <c r="C22" s="8">
        <f>TINV(0.01,17)</f>
      </c>
      <c r="D22" s="8">
        <f>CHIINV(0.05,17)</f>
      </c>
      <c r="E22" s="8">
        <f>CHIINV(0.01,17)</f>
      </c>
      <c r="G22" s="6">
        <v>21</v>
      </c>
      <c r="H22" s="6">
        <v>58</v>
      </c>
    </row>
    <row r="23" ht="17" customHeight="1">
      <c r="A23" s="6">
        <v>18</v>
      </c>
      <c r="B23" s="8">
        <f>TINV(0.05,18)</f>
      </c>
      <c r="C23" s="8">
        <f>TINV(0.01,18)</f>
      </c>
      <c r="D23" s="8">
        <f>CHIINV(0.05,18)</f>
      </c>
      <c r="E23" s="8">
        <f>CHIINV(0.01,18)</f>
      </c>
      <c r="G23" s="6">
        <v>22</v>
      </c>
      <c r="H23" s="6">
        <v>65</v>
      </c>
    </row>
    <row r="24" ht="17" customHeight="1">
      <c r="A24" s="6">
        <v>19</v>
      </c>
      <c r="B24" s="8">
        <f>TINV(0.05,19)</f>
      </c>
      <c r="C24" s="8">
        <f>TINV(0.01,19)</f>
      </c>
      <c r="D24" s="8">
        <f>CHIINV(0.05,19)</f>
      </c>
      <c r="E24" s="8">
        <f>CHIINV(0.01,19)</f>
      </c>
      <c r="G24" s="6">
        <v>23</v>
      </c>
      <c r="H24" s="6">
        <v>73</v>
      </c>
    </row>
    <row r="25" ht="17" customHeight="1">
      <c r="A25" s="6">
        <v>20</v>
      </c>
      <c r="B25" s="8">
        <f>TINV(0.05,20)</f>
      </c>
      <c r="C25" s="8">
        <f>TINV(0.01,20)</f>
      </c>
      <c r="D25" s="8">
        <f>CHIINV(0.05,20)</f>
      </c>
      <c r="E25" s="8">
        <f>CHIINV(0.01,20)</f>
      </c>
      <c r="G25" s="6">
        <v>24</v>
      </c>
      <c r="H25" s="6">
        <v>81</v>
      </c>
    </row>
    <row r="26" ht="17" customHeight="1">
      <c r="A26" s="6">
        <v>21</v>
      </c>
      <c r="B26" s="8">
        <f>TINV(0.05,21)</f>
      </c>
      <c r="C26" s="8">
        <f>TINV(0.01,21)</f>
      </c>
      <c r="D26" s="8">
        <f>CHIINV(0.05,21)</f>
      </c>
      <c r="E26" s="8">
        <f>CHIINV(0.01,21)</f>
      </c>
      <c r="G26" s="6">
        <v>25</v>
      </c>
      <c r="H26" s="6">
        <v>89</v>
      </c>
    </row>
    <row r="27" ht="17" customHeight="1">
      <c r="A27" s="6">
        <v>22</v>
      </c>
      <c r="B27" s="8">
        <f>TINV(0.05,22)</f>
      </c>
      <c r="C27" s="8">
        <f>TINV(0.01,22)</f>
      </c>
      <c r="D27" s="8">
        <f>CHIINV(0.05,22)</f>
      </c>
      <c r="E27" s="8">
        <f>CHIINV(0.01,22)</f>
      </c>
      <c r="G27" s="6">
        <v>26</v>
      </c>
      <c r="H27" s="6">
        <v>98</v>
      </c>
    </row>
    <row r="28" ht="17" customHeight="1">
      <c r="A28" s="6">
        <v>23</v>
      </c>
      <c r="B28" s="8">
        <f>TINV(0.05,23)</f>
      </c>
      <c r="C28" s="8">
        <f>TINV(0.01,23)</f>
      </c>
      <c r="D28" s="8">
        <f>CHIINV(0.05,23)</f>
      </c>
      <c r="E28" s="8">
        <f>CHIINV(0.01,23)</f>
      </c>
      <c r="G28" s="6">
        <v>27</v>
      </c>
      <c r="H28" s="6">
        <v>107</v>
      </c>
    </row>
    <row r="29" ht="17" customHeight="1">
      <c r="A29" s="6">
        <v>24</v>
      </c>
      <c r="B29" s="8">
        <f>TINV(0.05,24)</f>
      </c>
      <c r="C29" s="8">
        <f>TINV(0.01,24)</f>
      </c>
      <c r="D29" s="8">
        <f>CHIINV(0.05,24)</f>
      </c>
      <c r="E29" s="8">
        <f>CHIINV(0.01,24)</f>
      </c>
      <c r="G29" s="6">
        <v>28</v>
      </c>
      <c r="H29" s="6">
        <v>116</v>
      </c>
    </row>
    <row r="30" ht="17" customHeight="1">
      <c r="A30" s="6">
        <v>25</v>
      </c>
      <c r="B30" s="8">
        <f>TINV(0.05,25)</f>
      </c>
      <c r="C30" s="8">
        <f>TINV(0.01,25)</f>
      </c>
      <c r="D30" s="8">
        <f>CHIINV(0.05,25)</f>
      </c>
      <c r="E30" s="8">
        <f>CHIINV(0.01,25)</f>
      </c>
      <c r="G30" s="6">
        <v>29</v>
      </c>
      <c r="H30" s="6">
        <v>126</v>
      </c>
    </row>
    <row r="31" ht="17" customHeight="1">
      <c r="A31" s="6">
        <v>26</v>
      </c>
      <c r="B31" s="8">
        <f>TINV(0.05,26)</f>
      </c>
      <c r="C31" s="8">
        <f>TINV(0.01,26)</f>
      </c>
      <c r="D31" s="8">
        <f>CHIINV(0.05,26)</f>
      </c>
      <c r="E31" s="8">
        <f>CHIINV(0.01,26)</f>
      </c>
      <c r="G31" s="6">
        <v>30</v>
      </c>
      <c r="H31" s="6">
        <v>137</v>
      </c>
    </row>
    <row r="32" ht="17" customHeight="1">
      <c r="A32" s="6">
        <v>27</v>
      </c>
      <c r="B32" s="8">
        <f>TINV(0.05,27)</f>
      </c>
      <c r="C32" s="8">
        <f>TINV(0.01,27)</f>
      </c>
      <c r="D32" s="8">
        <f>CHIINV(0.05,27)</f>
      </c>
      <c r="E32" s="8">
        <f>CHIINV(0.01,27)</f>
      </c>
      <c r="G32" s="6">
        <v>31</v>
      </c>
      <c r="H32" s="6">
        <v>147</v>
      </c>
    </row>
    <row r="33" ht="17" customHeight="1">
      <c r="A33" s="6">
        <v>28</v>
      </c>
      <c r="B33" s="8">
        <f>TINV(0.05,28)</f>
      </c>
      <c r="C33" s="8">
        <f>TINV(0.01,28)</f>
      </c>
      <c r="D33" s="8">
        <f>CHIINV(0.05,28)</f>
      </c>
      <c r="E33" s="8">
        <f>CHIINV(0.01,28)</f>
      </c>
      <c r="G33" s="6">
        <v>32</v>
      </c>
      <c r="H33" s="6">
        <v>159</v>
      </c>
    </row>
    <row r="34" ht="17" customHeight="1">
      <c r="A34" s="6">
        <v>29</v>
      </c>
      <c r="B34" s="8">
        <f>TINV(0.05,29)</f>
      </c>
      <c r="C34" s="8">
        <f>TINV(0.01,29)</f>
      </c>
      <c r="D34" s="8">
        <f>CHIINV(0.05,29)</f>
      </c>
      <c r="E34" s="8">
        <f>CHIINV(0.01,29)</f>
      </c>
      <c r="G34" s="6">
        <v>33</v>
      </c>
      <c r="H34" s="6">
        <v>170</v>
      </c>
    </row>
    <row r="35" ht="17" customHeight="1">
      <c r="A35" s="6">
        <v>30</v>
      </c>
      <c r="B35" s="8">
        <f>TINV(0.05,30)</f>
      </c>
      <c r="C35" s="8">
        <f>TINV(0.01,30)</f>
      </c>
      <c r="D35" s="8">
        <f>CHIINV(0.05,30)</f>
      </c>
      <c r="E35" s="8">
        <f>CHIINV(0.01,30)</f>
      </c>
      <c r="G35" s="6">
        <v>34</v>
      </c>
      <c r="H35" s="6">
        <v>182</v>
      </c>
    </row>
    <row r="36" ht="17" customHeight="1">
      <c r="A36" s="6">
        <v>31</v>
      </c>
      <c r="B36" s="8">
        <f>TINV(0.05,31)</f>
      </c>
      <c r="C36" s="8">
        <f>TINV(0.01,31)</f>
      </c>
      <c r="D36" s="8">
        <f>CHIINV(0.05,31)</f>
      </c>
      <c r="E36" s="8">
        <f>CHIINV(0.01,31)</f>
      </c>
      <c r="G36" s="6">
        <v>35</v>
      </c>
      <c r="H36" s="6">
        <v>195</v>
      </c>
    </row>
    <row r="37" ht="17" customHeight="1">
      <c r="A37" s="6">
        <v>32</v>
      </c>
      <c r="B37" s="8">
        <f>TINV(0.05,32)</f>
      </c>
      <c r="C37" s="8">
        <f>TINV(0.01,32)</f>
      </c>
      <c r="D37" s="8">
        <f>CHIINV(0.05,32)</f>
      </c>
      <c r="E37" s="8">
        <f>CHIINV(0.01,32)</f>
      </c>
      <c r="G37" s="6">
        <v>36</v>
      </c>
      <c r="H37" s="6">
        <v>208</v>
      </c>
    </row>
    <row r="38" ht="17" customHeight="1">
      <c r="A38" s="6">
        <v>33</v>
      </c>
      <c r="B38" s="8">
        <f>TINV(0.05,33)</f>
      </c>
      <c r="C38" s="8">
        <f>TINV(0.01,33)</f>
      </c>
      <c r="D38" s="8">
        <f>CHIINV(0.05,33)</f>
      </c>
      <c r="E38" s="8">
        <f>CHIINV(0.01,33)</f>
      </c>
      <c r="G38" s="6">
        <v>37</v>
      </c>
      <c r="H38" s="6">
        <v>221</v>
      </c>
    </row>
    <row r="39" ht="17" customHeight="1">
      <c r="A39" s="6">
        <v>34</v>
      </c>
      <c r="B39" s="8">
        <f>TINV(0.05,34)</f>
      </c>
      <c r="C39" s="8">
        <f>TINV(0.01,34)</f>
      </c>
      <c r="D39" s="8">
        <f>CHIINV(0.05,34)</f>
      </c>
      <c r="E39" s="8">
        <f>CHIINV(0.01,34)</f>
      </c>
      <c r="G39" s="6">
        <v>38</v>
      </c>
      <c r="H39" s="6">
        <v>235</v>
      </c>
    </row>
    <row r="40" ht="17" customHeight="1">
      <c r="A40" s="6">
        <v>35</v>
      </c>
      <c r="B40" s="8">
        <f>TINV(0.05,35)</f>
      </c>
      <c r="C40" s="8">
        <f>TINV(0.01,35)</f>
      </c>
      <c r="D40" s="8">
        <f>CHIINV(0.05,35)</f>
      </c>
      <c r="E40" s="8">
        <f>CHIINV(0.01,35)</f>
      </c>
      <c r="G40" s="6">
        <v>39</v>
      </c>
      <c r="H40" s="6">
        <v>249</v>
      </c>
    </row>
    <row r="41" ht="17" customHeight="1">
      <c r="A41" s="6">
        <v>36</v>
      </c>
      <c r="B41" s="8">
        <f>TINV(0.05,36)</f>
      </c>
      <c r="C41" s="8">
        <f>TINV(0.01,36)</f>
      </c>
      <c r="D41" s="8">
        <f>CHIINV(0.05,36)</f>
      </c>
      <c r="E41" s="8">
        <f>CHIINV(0.01,36)</f>
      </c>
      <c r="G41" s="6">
        <v>40</v>
      </c>
      <c r="H41" s="6">
        <v>264</v>
      </c>
    </row>
    <row r="42" ht="17" customHeight="1">
      <c r="A42" s="6">
        <v>37</v>
      </c>
      <c r="B42" s="8">
        <f>TINV(0.05,37)</f>
      </c>
      <c r="C42" s="8">
        <f>TINV(0.01,37)</f>
      </c>
      <c r="D42" s="8">
        <f>CHIINV(0.05,37)</f>
      </c>
      <c r="E42" s="8">
        <f>CHIINV(0.01,37)</f>
      </c>
      <c r="G42" s="6">
        <v>41</v>
      </c>
      <c r="H42" s="6">
        <v>279</v>
      </c>
    </row>
    <row r="43" ht="17" customHeight="1">
      <c r="A43" s="6">
        <v>38</v>
      </c>
      <c r="B43" s="8">
        <f>TINV(0.05,38)</f>
      </c>
      <c r="C43" s="8">
        <f>TINV(0.01,38)</f>
      </c>
      <c r="D43" s="8">
        <f>CHIINV(0.05,38)</f>
      </c>
      <c r="E43" s="8">
        <f>CHIINV(0.01,38)</f>
      </c>
      <c r="G43" s="6">
        <v>42</v>
      </c>
      <c r="H43" s="6">
        <v>294</v>
      </c>
    </row>
    <row r="44" ht="17" customHeight="1">
      <c r="A44" s="6">
        <v>39</v>
      </c>
      <c r="B44" s="8">
        <f>TINV(0.05,39)</f>
      </c>
      <c r="C44" s="8">
        <f>TINV(0.01,39)</f>
      </c>
      <c r="D44" s="8">
        <f>CHIINV(0.05,39)</f>
      </c>
      <c r="E44" s="8">
        <f>CHIINV(0.01,39)</f>
      </c>
      <c r="G44" s="6">
        <v>43</v>
      </c>
      <c r="H44" s="6">
        <v>310</v>
      </c>
    </row>
    <row r="45" ht="17" customHeight="1">
      <c r="A45" s="6">
        <v>40</v>
      </c>
      <c r="B45" s="8">
        <f>TINV(0.05,40)</f>
      </c>
      <c r="C45" s="8">
        <f>TINV(0.01,40)</f>
      </c>
      <c r="D45" s="8">
        <f>CHIINV(0.05,40)</f>
      </c>
      <c r="E45" s="8">
        <f>CHIINV(0.01,40)</f>
      </c>
      <c r="G45" s="6">
        <v>44</v>
      </c>
      <c r="H45" s="6">
        <v>327</v>
      </c>
    </row>
    <row r="46" ht="17" customHeight="1">
      <c r="A46" s="6">
        <v>41</v>
      </c>
      <c r="B46" s="8">
        <f>TINV(0.05,41)</f>
      </c>
      <c r="C46" s="8">
        <f>TINV(0.01,41)</f>
      </c>
      <c r="D46" s="8">
        <f>CHIINV(0.05,41)</f>
      </c>
      <c r="E46" s="8">
        <f>CHIINV(0.01,41)</f>
      </c>
      <c r="G46" s="6">
        <v>45</v>
      </c>
      <c r="H46" s="6">
        <v>343</v>
      </c>
    </row>
    <row r="47" ht="17" customHeight="1">
      <c r="A47" s="6">
        <v>42</v>
      </c>
      <c r="B47" s="8">
        <f>TINV(0.05,42)</f>
      </c>
      <c r="C47" s="8">
        <f>TINV(0.01,42)</f>
      </c>
      <c r="D47" s="8">
        <f>CHIINV(0.05,42)</f>
      </c>
      <c r="E47" s="8">
        <f>CHIINV(0.01,42)</f>
      </c>
      <c r="G47" s="6">
        <v>46</v>
      </c>
      <c r="H47" s="6">
        <v>361</v>
      </c>
    </row>
    <row r="48" ht="17" customHeight="1">
      <c r="A48" s="6">
        <v>43</v>
      </c>
      <c r="B48" s="8">
        <f>TINV(0.05,43)</f>
      </c>
      <c r="C48" s="8">
        <f>TINV(0.01,43)</f>
      </c>
      <c r="D48" s="8">
        <f>CHIINV(0.05,43)</f>
      </c>
      <c r="E48" s="8">
        <f>CHIINV(0.01,43)</f>
      </c>
      <c r="G48" s="6">
        <v>47</v>
      </c>
      <c r="H48" s="6">
        <v>378</v>
      </c>
    </row>
    <row r="49" ht="17" customHeight="1">
      <c r="A49" s="6">
        <v>44</v>
      </c>
      <c r="B49" s="8">
        <f>TINV(0.05,44)</f>
      </c>
      <c r="C49" s="8">
        <f>TINV(0.01,44)</f>
      </c>
      <c r="D49" s="8">
        <f>CHIINV(0.05,44)</f>
      </c>
      <c r="E49" s="8">
        <f>CHIINV(0.01,44)</f>
      </c>
      <c r="G49" s="6">
        <v>48</v>
      </c>
      <c r="H49" s="6">
        <v>396</v>
      </c>
    </row>
    <row r="50" ht="17" customHeight="1">
      <c r="A50" s="6">
        <v>45</v>
      </c>
      <c r="B50" s="8">
        <f>TINV(0.05,45)</f>
      </c>
      <c r="C50" s="8">
        <f>TINV(0.01,45)</f>
      </c>
      <c r="D50" s="8">
        <f>CHIINV(0.05,45)</f>
      </c>
      <c r="E50" s="8">
        <f>CHIINV(0.01,45)</f>
      </c>
      <c r="G50" s="6">
        <v>49</v>
      </c>
      <c r="H50" s="6">
        <v>415</v>
      </c>
    </row>
    <row r="51" ht="17" customHeight="1">
      <c r="A51" s="6">
        <v>46</v>
      </c>
      <c r="B51" s="8">
        <f>TINV(0.05,46)</f>
      </c>
      <c r="C51" s="8">
        <f>TINV(0.01,46)</f>
      </c>
      <c r="D51" s="8">
        <f>CHIINV(0.05,46)</f>
      </c>
      <c r="E51" s="8">
        <f>CHIINV(0.01,46)</f>
      </c>
      <c r="G51" s="6">
        <v>50</v>
      </c>
      <c r="H51" s="6">
        <v>434</v>
      </c>
    </row>
    <row r="52" ht="17" customHeight="1">
      <c r="A52" s="6">
        <v>47</v>
      </c>
      <c r="B52" s="8">
        <f>TINV(0.05,47)</f>
      </c>
      <c r="C52" s="8">
        <f>TINV(0.01,47)</f>
      </c>
      <c r="D52" s="8">
        <f>CHIINV(0.05,47)</f>
      </c>
      <c r="E52" s="8">
        <f>CHIINV(0.01,47)</f>
      </c>
    </row>
    <row r="53" ht="34" customHeight="1">
      <c r="A53" s="6">
        <v>48</v>
      </c>
      <c r="B53" s="8">
        <f>TINV(0.05,48)</f>
      </c>
      <c r="C53" s="8">
        <f>TINV(0.01,48)</f>
      </c>
      <c r="D53" s="8">
        <f>CHIINV(0.05,48)</f>
      </c>
      <c r="E53" s="8">
        <f>CHIINV(0.01,48)</f>
      </c>
      <c r="G53" s="10" t="inlineStr">
        <is>
          <t xml:space="preserve">Различия значимы, если T эмпирическое МЕНЬШЕ или равно критическому.</t>
        </is>
      </c>
    </row>
    <row r="54" ht="17" customHeight="1">
      <c r="A54" s="6">
        <v>49</v>
      </c>
      <c r="B54" s="8">
        <f>TINV(0.05,49)</f>
      </c>
      <c r="C54" s="8">
        <f>TINV(0.01,49)</f>
      </c>
      <c r="D54" s="8">
        <f>CHIINV(0.05,49)</f>
      </c>
      <c r="E54" s="8">
        <f>CHIINV(0.01,49)</f>
      </c>
    </row>
    <row r="55" ht="17" customHeight="1">
      <c r="A55" s="6">
        <v>50</v>
      </c>
      <c r="B55" s="8">
        <f>TINV(0.05,50)</f>
      </c>
      <c r="C55" s="8">
        <f>TINV(0.01,50)</f>
      </c>
      <c r="D55" s="8">
        <f>CHIINV(0.05,50)</f>
      </c>
      <c r="E55" s="8">
        <f>CHIINV(0.01,50)</f>
      </c>
    </row>
    <row r="56" ht="17" customHeight="1">
      <c r="A56" s="6">
        <v>51</v>
      </c>
      <c r="B56" s="8">
        <f>TINV(0.05,51)</f>
      </c>
      <c r="C56" s="8">
        <f>TINV(0.01,51)</f>
      </c>
      <c r="D56" s="8">
        <f>CHIINV(0.05,51)</f>
      </c>
      <c r="E56" s="8">
        <f>CHIINV(0.01,51)</f>
      </c>
    </row>
    <row r="57" ht="17" customHeight="1">
      <c r="A57" s="6">
        <v>52</v>
      </c>
      <c r="B57" s="8">
        <f>TINV(0.05,52)</f>
      </c>
      <c r="C57" s="8">
        <f>TINV(0.01,52)</f>
      </c>
      <c r="D57" s="8">
        <f>CHIINV(0.05,52)</f>
      </c>
      <c r="E57" s="8">
        <f>CHIINV(0.01,52)</f>
      </c>
    </row>
    <row r="58" ht="17" customHeight="1">
      <c r="A58" s="6">
        <v>53</v>
      </c>
      <c r="B58" s="8">
        <f>TINV(0.05,53)</f>
      </c>
      <c r="C58" s="8">
        <f>TINV(0.01,53)</f>
      </c>
      <c r="D58" s="8">
        <f>CHIINV(0.05,53)</f>
      </c>
      <c r="E58" s="8">
        <f>CHIINV(0.01,53)</f>
      </c>
    </row>
    <row r="59" ht="17" customHeight="1">
      <c r="A59" s="6">
        <v>54</v>
      </c>
      <c r="B59" s="8">
        <f>TINV(0.05,54)</f>
      </c>
      <c r="C59" s="8">
        <f>TINV(0.01,54)</f>
      </c>
      <c r="D59" s="8">
        <f>CHIINV(0.05,54)</f>
      </c>
      <c r="E59" s="8">
        <f>CHIINV(0.01,54)</f>
      </c>
    </row>
    <row r="60" ht="17" customHeight="1">
      <c r="A60" s="6">
        <v>55</v>
      </c>
      <c r="B60" s="8">
        <f>TINV(0.05,55)</f>
      </c>
      <c r="C60" s="8">
        <f>TINV(0.01,55)</f>
      </c>
      <c r="D60" s="8">
        <f>CHIINV(0.05,55)</f>
      </c>
      <c r="E60" s="8">
        <f>CHIINV(0.01,55)</f>
      </c>
    </row>
    <row r="61" ht="17" customHeight="1">
      <c r="A61" s="6">
        <v>56</v>
      </c>
      <c r="B61" s="8">
        <f>TINV(0.05,56)</f>
      </c>
      <c r="C61" s="8">
        <f>TINV(0.01,56)</f>
      </c>
      <c r="D61" s="8">
        <f>CHIINV(0.05,56)</f>
      </c>
      <c r="E61" s="8">
        <f>CHIINV(0.01,56)</f>
      </c>
    </row>
    <row r="62" ht="17" customHeight="1">
      <c r="A62" s="6">
        <v>57</v>
      </c>
      <c r="B62" s="8">
        <f>TINV(0.05,57)</f>
      </c>
      <c r="C62" s="8">
        <f>TINV(0.01,57)</f>
      </c>
      <c r="D62" s="8">
        <f>CHIINV(0.05,57)</f>
      </c>
      <c r="E62" s="8">
        <f>CHIINV(0.01,57)</f>
      </c>
    </row>
    <row r="63" ht="17" customHeight="1">
      <c r="A63" s="6">
        <v>58</v>
      </c>
      <c r="B63" s="8">
        <f>TINV(0.05,58)</f>
      </c>
      <c r="C63" s="8">
        <f>TINV(0.01,58)</f>
      </c>
      <c r="D63" s="8">
        <f>CHIINV(0.05,58)</f>
      </c>
      <c r="E63" s="8">
        <f>CHIINV(0.01,58)</f>
      </c>
    </row>
    <row r="64" ht="17" customHeight="1">
      <c r="A64" s="6">
        <v>59</v>
      </c>
      <c r="B64" s="8">
        <f>TINV(0.05,59)</f>
      </c>
      <c r="C64" s="8">
        <f>TINV(0.01,59)</f>
      </c>
      <c r="D64" s="8">
        <f>CHIINV(0.05,59)</f>
      </c>
      <c r="E64" s="8">
        <f>CHIINV(0.01,59)</f>
      </c>
    </row>
    <row r="65" ht="17" customHeight="1">
      <c r="A65" s="6">
        <v>60</v>
      </c>
      <c r="B65" s="8">
        <f>TINV(0.05,60)</f>
      </c>
      <c r="C65" s="8">
        <f>TINV(0.01,60)</f>
      </c>
      <c r="D65" s="8">
        <f>CHIINV(0.05,60)</f>
      </c>
      <c r="E65" s="8">
        <f>CHIINV(0.01,60)</f>
      </c>
    </row>
    <row r="68" ht="17" customHeight="1">
      <c r="A68" s="2" t="inlineStr">
        <is>
          <t xml:space="preserve">U Манна-Уитни (α = 0,05). Строки — n первой выборки, столбцы — n второй</t>
        </is>
      </c>
    </row>
    <row r="69" ht="17" customHeight="1">
      <c r="A69" s="9" t="inlineStr">
        <is>
          <t xml:space="preserve">n1 \ n2</t>
        </is>
      </c>
      <c r="B69" s="9">
        <v>3</v>
      </c>
      <c r="C69" s="9">
        <v>4</v>
      </c>
      <c r="D69" s="9">
        <v>5</v>
      </c>
      <c r="E69" s="9">
        <v>6</v>
      </c>
      <c r="F69" s="9">
        <v>7</v>
      </c>
      <c r="G69" s="9">
        <v>8</v>
      </c>
      <c r="H69" s="9">
        <v>9</v>
      </c>
      <c r="I69" s="9">
        <v>10</v>
      </c>
      <c r="J69" s="9">
        <v>11</v>
      </c>
      <c r="K69" s="9">
        <v>12</v>
      </c>
      <c r="L69" s="9">
        <v>13</v>
      </c>
      <c r="M69" s="9">
        <v>14</v>
      </c>
      <c r="N69" s="9">
        <v>15</v>
      </c>
      <c r="O69" s="9">
        <v>16</v>
      </c>
      <c r="P69" s="9">
        <v>17</v>
      </c>
      <c r="Q69" s="9">
        <v>18</v>
      </c>
      <c r="R69" s="9">
        <v>19</v>
      </c>
      <c r="S69" s="9">
        <v>20</v>
      </c>
    </row>
    <row r="70" ht="17" customHeight="1">
      <c r="A70" s="9">
        <v>3</v>
      </c>
      <c r="B70" s="6" t="inlineStr">
        <is>
          <t xml:space="preserve">—</t>
        </is>
      </c>
      <c r="C70" s="6" t="inlineStr">
        <is>
          <t xml:space="preserve">—</t>
        </is>
      </c>
      <c r="D70" s="6">
        <v>0</v>
      </c>
      <c r="E70" s="6">
        <v>1</v>
      </c>
      <c r="F70" s="6">
        <v>1</v>
      </c>
      <c r="G70" s="6">
        <v>2</v>
      </c>
      <c r="H70" s="6">
        <v>2</v>
      </c>
      <c r="I70" s="6">
        <v>3</v>
      </c>
      <c r="J70" s="6">
        <v>3</v>
      </c>
      <c r="K70" s="6">
        <v>4</v>
      </c>
      <c r="L70" s="6">
        <v>4</v>
      </c>
      <c r="M70" s="6">
        <v>5</v>
      </c>
      <c r="N70" s="6">
        <v>5</v>
      </c>
      <c r="O70" s="6">
        <v>6</v>
      </c>
      <c r="P70" s="6">
        <v>6</v>
      </c>
      <c r="Q70" s="6">
        <v>7</v>
      </c>
      <c r="R70" s="6">
        <v>7</v>
      </c>
      <c r="S70" s="6">
        <v>8</v>
      </c>
    </row>
    <row r="71">
      <c r="A71" s="9">
        <v>4</v>
      </c>
      <c r="B71" s="6" t="inlineStr">
        <is>
          <t xml:space="preserve">—</t>
        </is>
      </c>
      <c r="C71" s="6">
        <v>0</v>
      </c>
      <c r="D71" s="6">
        <v>1</v>
      </c>
      <c r="E71" s="6">
        <v>2</v>
      </c>
      <c r="F71" s="6">
        <v>3</v>
      </c>
      <c r="G71" s="6">
        <v>4</v>
      </c>
      <c r="H71" s="6">
        <v>4</v>
      </c>
      <c r="I71" s="6">
        <v>5</v>
      </c>
      <c r="J71" s="6">
        <v>6</v>
      </c>
      <c r="K71" s="6">
        <v>7</v>
      </c>
      <c r="L71" s="6">
        <v>8</v>
      </c>
      <c r="M71" s="6">
        <v>9</v>
      </c>
      <c r="N71" s="6">
        <v>10</v>
      </c>
      <c r="O71" s="6">
        <v>11</v>
      </c>
      <c r="P71" s="6">
        <v>11</v>
      </c>
      <c r="Q71" s="6">
        <v>12</v>
      </c>
      <c r="R71" s="6">
        <v>13</v>
      </c>
      <c r="S71" s="6">
        <v>14</v>
      </c>
    </row>
    <row r="72">
      <c r="A72" s="9">
        <v>5</v>
      </c>
      <c r="B72" s="6">
        <v>0</v>
      </c>
      <c r="C72" s="6">
        <v>1</v>
      </c>
      <c r="D72" s="6">
        <v>2</v>
      </c>
      <c r="E72" s="6">
        <v>3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11</v>
      </c>
      <c r="L72" s="6">
        <v>12</v>
      </c>
      <c r="M72" s="6">
        <v>13</v>
      </c>
      <c r="N72" s="6">
        <v>14</v>
      </c>
      <c r="O72" s="6">
        <v>15</v>
      </c>
      <c r="P72" s="6">
        <v>17</v>
      </c>
      <c r="Q72" s="6">
        <v>18</v>
      </c>
      <c r="R72" s="6">
        <v>19</v>
      </c>
      <c r="S72" s="6">
        <v>20</v>
      </c>
    </row>
    <row r="73">
      <c r="A73" s="9">
        <v>6</v>
      </c>
      <c r="B73" s="6">
        <v>1</v>
      </c>
      <c r="C73" s="6">
        <v>2</v>
      </c>
      <c r="D73" s="6">
        <v>3</v>
      </c>
      <c r="E73" s="6">
        <v>5</v>
      </c>
      <c r="F73" s="6">
        <v>6</v>
      </c>
      <c r="G73" s="6">
        <v>8</v>
      </c>
      <c r="H73" s="6">
        <v>10</v>
      </c>
      <c r="I73" s="6">
        <v>11</v>
      </c>
      <c r="J73" s="6">
        <v>13</v>
      </c>
      <c r="K73" s="6">
        <v>14</v>
      </c>
      <c r="L73" s="6">
        <v>16</v>
      </c>
      <c r="M73" s="6">
        <v>17</v>
      </c>
      <c r="N73" s="6">
        <v>19</v>
      </c>
      <c r="O73" s="6">
        <v>21</v>
      </c>
      <c r="P73" s="6">
        <v>22</v>
      </c>
      <c r="Q73" s="6">
        <v>24</v>
      </c>
      <c r="R73" s="6">
        <v>25</v>
      </c>
      <c r="S73" s="6">
        <v>27</v>
      </c>
    </row>
    <row r="74">
      <c r="A74" s="9">
        <v>7</v>
      </c>
      <c r="B74" s="6">
        <v>1</v>
      </c>
      <c r="C74" s="6">
        <v>3</v>
      </c>
      <c r="D74" s="6">
        <v>5</v>
      </c>
      <c r="E74" s="6">
        <v>6</v>
      </c>
      <c r="F74" s="6">
        <v>8</v>
      </c>
      <c r="G74" s="6">
        <v>10</v>
      </c>
      <c r="H74" s="6">
        <v>12</v>
      </c>
      <c r="I74" s="6">
        <v>14</v>
      </c>
      <c r="J74" s="6">
        <v>16</v>
      </c>
      <c r="K74" s="6">
        <v>18</v>
      </c>
      <c r="L74" s="6">
        <v>20</v>
      </c>
      <c r="M74" s="6">
        <v>22</v>
      </c>
      <c r="N74" s="6">
        <v>24</v>
      </c>
      <c r="O74" s="6">
        <v>26</v>
      </c>
      <c r="P74" s="6">
        <v>28</v>
      </c>
      <c r="Q74" s="6">
        <v>30</v>
      </c>
      <c r="R74" s="6">
        <v>32</v>
      </c>
      <c r="S74" s="6">
        <v>34</v>
      </c>
    </row>
    <row r="75">
      <c r="A75" s="9">
        <v>8</v>
      </c>
      <c r="B75" s="6">
        <v>2</v>
      </c>
      <c r="C75" s="6">
        <v>4</v>
      </c>
      <c r="D75" s="6">
        <v>6</v>
      </c>
      <c r="E75" s="6">
        <v>8</v>
      </c>
      <c r="F75" s="6">
        <v>10</v>
      </c>
      <c r="G75" s="6">
        <v>13</v>
      </c>
      <c r="H75" s="6">
        <v>15</v>
      </c>
      <c r="I75" s="6">
        <v>17</v>
      </c>
      <c r="J75" s="6">
        <v>19</v>
      </c>
      <c r="K75" s="6">
        <v>22</v>
      </c>
      <c r="L75" s="6">
        <v>24</v>
      </c>
      <c r="M75" s="6">
        <v>26</v>
      </c>
      <c r="N75" s="6">
        <v>29</v>
      </c>
      <c r="O75" s="6">
        <v>31</v>
      </c>
      <c r="P75" s="6">
        <v>34</v>
      </c>
      <c r="Q75" s="6">
        <v>36</v>
      </c>
      <c r="R75" s="6">
        <v>38</v>
      </c>
      <c r="S75" s="6">
        <v>41</v>
      </c>
    </row>
    <row r="76">
      <c r="A76" s="9">
        <v>9</v>
      </c>
      <c r="B76" s="6">
        <v>2</v>
      </c>
      <c r="C76" s="6">
        <v>4</v>
      </c>
      <c r="D76" s="6">
        <v>7</v>
      </c>
      <c r="E76" s="6">
        <v>10</v>
      </c>
      <c r="F76" s="6">
        <v>12</v>
      </c>
      <c r="G76" s="6">
        <v>15</v>
      </c>
      <c r="H76" s="6">
        <v>17</v>
      </c>
      <c r="I76" s="6">
        <v>20</v>
      </c>
      <c r="J76" s="6">
        <v>23</v>
      </c>
      <c r="K76" s="6">
        <v>26</v>
      </c>
      <c r="L76" s="6">
        <v>28</v>
      </c>
      <c r="M76" s="6">
        <v>31</v>
      </c>
      <c r="N76" s="6">
        <v>34</v>
      </c>
      <c r="O76" s="6">
        <v>37</v>
      </c>
      <c r="P76" s="6">
        <v>39</v>
      </c>
      <c r="Q76" s="6">
        <v>42</v>
      </c>
      <c r="R76" s="6">
        <v>45</v>
      </c>
      <c r="S76" s="6">
        <v>48</v>
      </c>
    </row>
    <row r="77">
      <c r="A77" s="9">
        <v>10</v>
      </c>
      <c r="B77" s="6">
        <v>3</v>
      </c>
      <c r="C77" s="6">
        <v>5</v>
      </c>
      <c r="D77" s="6">
        <v>8</v>
      </c>
      <c r="E77" s="6">
        <v>11</v>
      </c>
      <c r="F77" s="6">
        <v>14</v>
      </c>
      <c r="G77" s="6">
        <v>17</v>
      </c>
      <c r="H77" s="6">
        <v>20</v>
      </c>
      <c r="I77" s="6">
        <v>23</v>
      </c>
      <c r="J77" s="6">
        <v>26</v>
      </c>
      <c r="K77" s="6">
        <v>29</v>
      </c>
      <c r="L77" s="6">
        <v>33</v>
      </c>
      <c r="M77" s="6">
        <v>36</v>
      </c>
      <c r="N77" s="6">
        <v>39</v>
      </c>
      <c r="O77" s="6">
        <v>42</v>
      </c>
      <c r="P77" s="6">
        <v>45</v>
      </c>
      <c r="Q77" s="6">
        <v>48</v>
      </c>
      <c r="R77" s="6">
        <v>52</v>
      </c>
      <c r="S77" s="6">
        <v>55</v>
      </c>
    </row>
    <row r="78">
      <c r="A78" s="9">
        <v>11</v>
      </c>
      <c r="B78" s="6">
        <v>3</v>
      </c>
      <c r="C78" s="6">
        <v>6</v>
      </c>
      <c r="D78" s="6">
        <v>9</v>
      </c>
      <c r="E78" s="6">
        <v>13</v>
      </c>
      <c r="F78" s="6">
        <v>16</v>
      </c>
      <c r="G78" s="6">
        <v>19</v>
      </c>
      <c r="H78" s="6">
        <v>23</v>
      </c>
      <c r="I78" s="6">
        <v>26</v>
      </c>
      <c r="J78" s="6">
        <v>30</v>
      </c>
      <c r="K78" s="6">
        <v>33</v>
      </c>
      <c r="L78" s="6">
        <v>37</v>
      </c>
      <c r="M78" s="6">
        <v>40</v>
      </c>
      <c r="N78" s="6">
        <v>44</v>
      </c>
      <c r="O78" s="6">
        <v>47</v>
      </c>
      <c r="P78" s="6">
        <v>51</v>
      </c>
      <c r="Q78" s="6">
        <v>55</v>
      </c>
      <c r="R78" s="6">
        <v>58</v>
      </c>
      <c r="S78" s="6">
        <v>62</v>
      </c>
    </row>
    <row r="79">
      <c r="A79" s="9">
        <v>12</v>
      </c>
      <c r="B79" s="6">
        <v>4</v>
      </c>
      <c r="C79" s="6">
        <v>7</v>
      </c>
      <c r="D79" s="6">
        <v>11</v>
      </c>
      <c r="E79" s="6">
        <v>14</v>
      </c>
      <c r="F79" s="6">
        <v>18</v>
      </c>
      <c r="G79" s="6">
        <v>22</v>
      </c>
      <c r="H79" s="6">
        <v>26</v>
      </c>
      <c r="I79" s="6">
        <v>29</v>
      </c>
      <c r="J79" s="6">
        <v>33</v>
      </c>
      <c r="K79" s="6">
        <v>37</v>
      </c>
      <c r="L79" s="6">
        <v>41</v>
      </c>
      <c r="M79" s="6">
        <v>45</v>
      </c>
      <c r="N79" s="6">
        <v>49</v>
      </c>
      <c r="O79" s="6">
        <v>53</v>
      </c>
      <c r="P79" s="6">
        <v>57</v>
      </c>
      <c r="Q79" s="6">
        <v>61</v>
      </c>
      <c r="R79" s="6">
        <v>65</v>
      </c>
      <c r="S79" s="6">
        <v>69</v>
      </c>
    </row>
    <row r="80">
      <c r="A80" s="9">
        <v>13</v>
      </c>
      <c r="B80" s="6">
        <v>4</v>
      </c>
      <c r="C80" s="6">
        <v>8</v>
      </c>
      <c r="D80" s="6">
        <v>12</v>
      </c>
      <c r="E80" s="6">
        <v>16</v>
      </c>
      <c r="F80" s="6">
        <v>20</v>
      </c>
      <c r="G80" s="6">
        <v>24</v>
      </c>
      <c r="H80" s="6">
        <v>28</v>
      </c>
      <c r="I80" s="6">
        <v>33</v>
      </c>
      <c r="J80" s="6">
        <v>37</v>
      </c>
      <c r="K80" s="6">
        <v>41</v>
      </c>
      <c r="L80" s="6">
        <v>45</v>
      </c>
      <c r="M80" s="6">
        <v>50</v>
      </c>
      <c r="N80" s="6">
        <v>54</v>
      </c>
      <c r="O80" s="6">
        <v>59</v>
      </c>
      <c r="P80" s="6">
        <v>63</v>
      </c>
      <c r="Q80" s="6">
        <v>67</v>
      </c>
      <c r="R80" s="6">
        <v>72</v>
      </c>
      <c r="S80" s="6">
        <v>76</v>
      </c>
    </row>
    <row r="81">
      <c r="A81" s="9">
        <v>14</v>
      </c>
      <c r="B81" s="6">
        <v>5</v>
      </c>
      <c r="C81" s="6">
        <v>9</v>
      </c>
      <c r="D81" s="6">
        <v>13</v>
      </c>
      <c r="E81" s="6">
        <v>17</v>
      </c>
      <c r="F81" s="6">
        <v>22</v>
      </c>
      <c r="G81" s="6">
        <v>26</v>
      </c>
      <c r="H81" s="6">
        <v>31</v>
      </c>
      <c r="I81" s="6">
        <v>36</v>
      </c>
      <c r="J81" s="6">
        <v>40</v>
      </c>
      <c r="K81" s="6">
        <v>45</v>
      </c>
      <c r="L81" s="6">
        <v>50</v>
      </c>
      <c r="M81" s="6">
        <v>55</v>
      </c>
      <c r="N81" s="6">
        <v>59</v>
      </c>
      <c r="O81" s="6">
        <v>64</v>
      </c>
      <c r="P81" s="6">
        <v>69</v>
      </c>
      <c r="Q81" s="6">
        <v>74</v>
      </c>
      <c r="R81" s="6">
        <v>78</v>
      </c>
      <c r="S81" s="6">
        <v>83</v>
      </c>
    </row>
    <row r="82">
      <c r="A82" s="9">
        <v>15</v>
      </c>
      <c r="B82" s="6">
        <v>5</v>
      </c>
      <c r="C82" s="6">
        <v>10</v>
      </c>
      <c r="D82" s="6">
        <v>14</v>
      </c>
      <c r="E82" s="6">
        <v>19</v>
      </c>
      <c r="F82" s="6">
        <v>24</v>
      </c>
      <c r="G82" s="6">
        <v>29</v>
      </c>
      <c r="H82" s="6">
        <v>34</v>
      </c>
      <c r="I82" s="6">
        <v>39</v>
      </c>
      <c r="J82" s="6">
        <v>44</v>
      </c>
      <c r="K82" s="6">
        <v>49</v>
      </c>
      <c r="L82" s="6">
        <v>54</v>
      </c>
      <c r="M82" s="6">
        <v>59</v>
      </c>
      <c r="N82" s="6">
        <v>64</v>
      </c>
      <c r="O82" s="6">
        <v>70</v>
      </c>
      <c r="P82" s="6">
        <v>75</v>
      </c>
      <c r="Q82" s="6">
        <v>80</v>
      </c>
      <c r="R82" s="6">
        <v>85</v>
      </c>
      <c r="S82" s="6">
        <v>90</v>
      </c>
    </row>
    <row r="83">
      <c r="A83" s="9">
        <v>16</v>
      </c>
      <c r="B83" s="6">
        <v>6</v>
      </c>
      <c r="C83" s="6">
        <v>11</v>
      </c>
      <c r="D83" s="6">
        <v>15</v>
      </c>
      <c r="E83" s="6">
        <v>21</v>
      </c>
      <c r="F83" s="6">
        <v>26</v>
      </c>
      <c r="G83" s="6">
        <v>31</v>
      </c>
      <c r="H83" s="6">
        <v>37</v>
      </c>
      <c r="I83" s="6">
        <v>42</v>
      </c>
      <c r="J83" s="6">
        <v>47</v>
      </c>
      <c r="K83" s="6">
        <v>53</v>
      </c>
      <c r="L83" s="6">
        <v>59</v>
      </c>
      <c r="M83" s="6">
        <v>64</v>
      </c>
      <c r="N83" s="6">
        <v>70</v>
      </c>
      <c r="O83" s="6">
        <v>75</v>
      </c>
      <c r="P83" s="6">
        <v>81</v>
      </c>
      <c r="Q83" s="6">
        <v>86</v>
      </c>
      <c r="R83" s="6">
        <v>92</v>
      </c>
      <c r="S83" s="6">
        <v>98</v>
      </c>
    </row>
    <row r="84">
      <c r="A84" s="9">
        <v>17</v>
      </c>
      <c r="B84" s="6">
        <v>6</v>
      </c>
      <c r="C84" s="6">
        <v>11</v>
      </c>
      <c r="D84" s="6">
        <v>17</v>
      </c>
      <c r="E84" s="6">
        <v>22</v>
      </c>
      <c r="F84" s="6">
        <v>28</v>
      </c>
      <c r="G84" s="6">
        <v>34</v>
      </c>
      <c r="H84" s="6">
        <v>39</v>
      </c>
      <c r="I84" s="6">
        <v>45</v>
      </c>
      <c r="J84" s="6">
        <v>51</v>
      </c>
      <c r="K84" s="6">
        <v>57</v>
      </c>
      <c r="L84" s="6">
        <v>63</v>
      </c>
      <c r="M84" s="6">
        <v>69</v>
      </c>
      <c r="N84" s="6">
        <v>75</v>
      </c>
      <c r="O84" s="6">
        <v>81</v>
      </c>
      <c r="P84" s="6">
        <v>87</v>
      </c>
      <c r="Q84" s="6">
        <v>93</v>
      </c>
      <c r="R84" s="6">
        <v>99</v>
      </c>
      <c r="S84" s="6">
        <v>105</v>
      </c>
    </row>
    <row r="85">
      <c r="A85" s="9">
        <v>18</v>
      </c>
      <c r="B85" s="6">
        <v>7</v>
      </c>
      <c r="C85" s="6">
        <v>12</v>
      </c>
      <c r="D85" s="6">
        <v>18</v>
      </c>
      <c r="E85" s="6">
        <v>24</v>
      </c>
      <c r="F85" s="6">
        <v>30</v>
      </c>
      <c r="G85" s="6">
        <v>36</v>
      </c>
      <c r="H85" s="6">
        <v>42</v>
      </c>
      <c r="I85" s="6">
        <v>48</v>
      </c>
      <c r="J85" s="6">
        <v>55</v>
      </c>
      <c r="K85" s="6">
        <v>61</v>
      </c>
      <c r="L85" s="6">
        <v>67</v>
      </c>
      <c r="M85" s="6">
        <v>74</v>
      </c>
      <c r="N85" s="6">
        <v>80</v>
      </c>
      <c r="O85" s="6">
        <v>86</v>
      </c>
      <c r="P85" s="6">
        <v>93</v>
      </c>
      <c r="Q85" s="6">
        <v>99</v>
      </c>
      <c r="R85" s="6">
        <v>106</v>
      </c>
      <c r="S85" s="6">
        <v>112</v>
      </c>
    </row>
    <row r="86">
      <c r="A86" s="9">
        <v>19</v>
      </c>
      <c r="B86" s="6">
        <v>7</v>
      </c>
      <c r="C86" s="6">
        <v>13</v>
      </c>
      <c r="D86" s="6">
        <v>19</v>
      </c>
      <c r="E86" s="6">
        <v>25</v>
      </c>
      <c r="F86" s="6">
        <v>32</v>
      </c>
      <c r="G86" s="6">
        <v>38</v>
      </c>
      <c r="H86" s="6">
        <v>45</v>
      </c>
      <c r="I86" s="6">
        <v>52</v>
      </c>
      <c r="J86" s="6">
        <v>58</v>
      </c>
      <c r="K86" s="6">
        <v>65</v>
      </c>
      <c r="L86" s="6">
        <v>72</v>
      </c>
      <c r="M86" s="6">
        <v>78</v>
      </c>
      <c r="N86" s="6">
        <v>85</v>
      </c>
      <c r="O86" s="6">
        <v>92</v>
      </c>
      <c r="P86" s="6">
        <v>99</v>
      </c>
      <c r="Q86" s="6">
        <v>106</v>
      </c>
      <c r="R86" s="6">
        <v>113</v>
      </c>
      <c r="S86" s="6">
        <v>119</v>
      </c>
    </row>
    <row r="87">
      <c r="A87" s="9">
        <v>20</v>
      </c>
      <c r="B87" s="6">
        <v>8</v>
      </c>
      <c r="C87" s="6">
        <v>14</v>
      </c>
      <c r="D87" s="6">
        <v>20</v>
      </c>
      <c r="E87" s="6">
        <v>27</v>
      </c>
      <c r="F87" s="6">
        <v>34</v>
      </c>
      <c r="G87" s="6">
        <v>41</v>
      </c>
      <c r="H87" s="6">
        <v>48</v>
      </c>
      <c r="I87" s="6">
        <v>55</v>
      </c>
      <c r="J87" s="6">
        <v>62</v>
      </c>
      <c r="K87" s="6">
        <v>69</v>
      </c>
      <c r="L87" s="6">
        <v>76</v>
      </c>
      <c r="M87" s="6">
        <v>83</v>
      </c>
      <c r="N87" s="6">
        <v>90</v>
      </c>
      <c r="O87" s="6">
        <v>98</v>
      </c>
      <c r="P87" s="6">
        <v>105</v>
      </c>
      <c r="Q87" s="6">
        <v>112</v>
      </c>
      <c r="R87" s="6">
        <v>119</v>
      </c>
      <c r="S87" s="6">
        <v>127</v>
      </c>
    </row>
    <row r="89">
      <c r="A89" s="10" t="inlineStr">
        <is>
          <t xml:space="preserve">Различия значимы, если U эмпирическое МЕНЬШЕ или равно критическому. Прочерк — при таких объёмах значимости не достичь ни при каком результате.</t>
        </is>
      </c>
    </row>
  </sheetData>
  <mergeCells count="5">
    <mergeCell ref="A1:F1"/>
    <mergeCell ref="A2:H2"/>
    <mergeCell ref="A4:F4"/>
    <mergeCell ref="A68:J68"/>
    <mergeCell ref="A89:J89"/>
  </mergeCells>
</worksheet>
</file>

<file path=xl/worksheets/sheet23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sheetFormatPr defaultRowHeight="15"/>
  <cols>
    <col min="1" max="1" width="11.05" customWidth="1"/>
    <col min="2" max="2" width="19.10" customWidth="1"/>
    <col min="3" max="3" width="11.05" customWidth="1"/>
    <col min="4" max="4" width="11.05" customWidth="1"/>
    <col min="5" max="5" width="11.05" customWidth="1"/>
    <col min="6" max="6" width="11.05" customWidth="1"/>
    <col min="7" max="7" width="11.05" customWidth="1"/>
    <col min="8" max="8" width="11.05" customWidth="1"/>
  </cols>
  <sheetData>
    <row r="1" ht="55" customHeight="1">
      <c r="A1" s="10" t="inlineStr">
        <is>
          <t xml:space="preserve">Служебные расчёты. Лист скрыт — трогать его не нужно.</t>
        </is>
      </c>
    </row>
    <row r="2" ht="16" customHeight="1">
      <c r="A2" s="10" t="inlineStr">
        <is>
          <t xml:space="preserve">n первой</t>
        </is>
      </c>
      <c r="B2" s="8">
        <f>COUNT(Выборка1)</f>
      </c>
    </row>
    <row r="3" ht="16" customHeight="1">
      <c r="A3" s="10" t="inlineStr">
        <is>
          <t xml:space="preserve">n второй</t>
        </is>
      </c>
      <c r="B3" s="8">
        <f>COUNT(Выборка2)</f>
      </c>
    </row>
    <row r="4">
      <c r="B4" s="8">
        <f>IF('23. Расчёты'!$B$2=0,"",AVERAGE(Выборка1))</f>
      </c>
    </row>
    <row r="5">
      <c r="B5" s="8">
        <f>IF('23. Расчёты'!$B$3=0,"",AVERAGE(Выборка2))</f>
      </c>
    </row>
    <row r="6">
      <c r="B6" s="8">
        <f>IF('23. Расчёты'!$B$2&lt;2,"",STDEV(Выборка1))</f>
      </c>
    </row>
    <row r="7">
      <c r="B7" s="8">
        <f>IF('23. Расчёты'!$B$3&lt;2,"",STDEV(Выборка2))</f>
      </c>
    </row>
    <row r="8">
      <c r="B8" s="8">
        <f>IF('23. Расчёты'!$B$2&lt;2,"",'23. Расчёты'!$B$6/SQRT('23. Расчёты'!$B$2))</f>
      </c>
    </row>
    <row r="9">
      <c r="B9" s="8">
        <f>IF('23. Расчёты'!$B$3&lt;2,"",'23. Расчёты'!$B$7/SQRT('23. Расчёты'!$B$3))</f>
      </c>
    </row>
    <row r="10">
      <c r="B10" s="8">
        <f>IF('23. Расчёты'!$B$2&lt;3,"",SKEW(Выборка1))</f>
      </c>
    </row>
    <row r="11">
      <c r="B11" s="8">
        <f>IF('23. Расчёты'!$B$2&lt;4,"",SQRT(6*'23. Расчёты'!$B$2*('23. Расчёты'!$B$2-1)/(('23. Расчёты'!$B$2-2)*('23. Расчёты'!$B$2+1)*('23. Расчёты'!$B$2+3))))</f>
      </c>
    </row>
    <row r="12">
      <c r="B12" s="8">
        <f>IF('23. Расчёты'!$B$2&lt;4,"",KURT(Выборка1))</f>
      </c>
    </row>
    <row r="13">
      <c r="B13" s="8">
        <f>IF('23. Расчёты'!$B$2&lt;6,"",SQRT(24*'23. Расчёты'!$B$2*('23. Расчёты'!$B$2-1)^2/(('23. Расчёты'!$B$2-3)*('23. Расчёты'!$B$2-2)*('23. Расчёты'!$B$2+3)*('23. Расчёты'!$B$2+5))))</f>
      </c>
    </row>
    <row r="14">
      <c r="B14" s="8">
        <f>IF(OR('23. Расчёты'!$B$2&lt;6,'23. Расчёты'!$B$11=""),1,IF(AND(ABS('23. Расчёты'!$B$10)&lt;3*'23. Расчёты'!$B$11,ABS('23. Расчёты'!$B$12)&lt;3*'23. Расчёты'!$B$13),1,0))</f>
      </c>
    </row>
    <row r="15">
      <c r="B15" s="8">
        <f>IF('23. Расчёты'!$B$3&lt;3,"",SKEW(Выборка2))</f>
      </c>
    </row>
    <row r="16">
      <c r="B16" s="8">
        <f>IF('23. Расчёты'!$B$3&lt;4,"",SQRT(6*'23. Расчёты'!$B$3*('23. Расчёты'!$B$3-1)/(('23. Расчёты'!$B$3-2)*('23. Расчёты'!$B$3+1)*('23. Расчёты'!$B$3+3))))</f>
      </c>
    </row>
    <row r="17">
      <c r="B17" s="8">
        <f>IF('23. Расчёты'!$B$3&lt;4,"",KURT(Выборка2))</f>
      </c>
    </row>
    <row r="18">
      <c r="B18" s="8">
        <f>IF('23. Расчёты'!$B$3&lt;6,"",SQRT(24*'23. Расчёты'!$B$3*('23. Расчёты'!$B$3-1)^2/(('23. Расчёты'!$B$3-3)*('23. Расчёты'!$B$3-2)*('23. Расчёты'!$B$3+3)*('23. Расчёты'!$B$3+5))))</f>
      </c>
    </row>
    <row r="19">
      <c r="B19" s="8">
        <f>IF(OR('23. Расчёты'!$B$3&lt;6,'23. Расчёты'!$B$16=""),1,IF(AND(ABS('23. Расчёты'!$B$15)&lt;3*'23. Расчёты'!$B$16,ABS('23. Расчёты'!$B$17)&lt;3*'23. Расчёты'!$B$18),1,0))</f>
      </c>
    </row>
    <row r="20">
      <c r="B20" s="8">
        <f>COUNT('23. Расчёты'!$E$61:$E$180)</f>
      </c>
    </row>
    <row r="21">
      <c r="B21" s="8">
        <f>IF('23. Расчёты'!$B$20=0,"",AVERAGE('23. Расчёты'!$E$61:$E$180))</f>
      </c>
    </row>
    <row r="22">
      <c r="B22" s="8">
        <f>IF('23. Расчёты'!$B$20&lt;2,"",STDEV('23. Расчёты'!$E$61:$E$180))</f>
      </c>
    </row>
    <row r="23">
      <c r="B23" s="8">
        <f>IF('23. Расчёты'!$B$20&lt;3,"",SKEW('23. Расчёты'!$E$61:$E$180))</f>
      </c>
    </row>
    <row r="24">
      <c r="B24" s="8">
        <f>IF('23. Расчёты'!$B$20&lt;4,"",SQRT(6*'23. Расчёты'!$B$20*('23. Расчёты'!$B$20-1)/(('23. Расчёты'!$B$20-2)*('23. Расчёты'!$B$20+1)*('23. Расчёты'!$B$20+3))))</f>
      </c>
    </row>
    <row r="25">
      <c r="B25" s="8">
        <f>IF('23. Расчёты'!$B$20&lt;4,"",KURT('23. Расчёты'!$E$61:$E$180))</f>
      </c>
    </row>
    <row r="26">
      <c r="B26" s="8">
        <f>IF('23. Расчёты'!$B$20&lt;6,"",SQRT(24*'23. Расчёты'!$B$20*('23. Расчёты'!$B$20-1)^2/(('23. Расчёты'!$B$20-3)*('23. Расчёты'!$B$20-2)*('23. Расчёты'!$B$20+3)*('23. Расчёты'!$B$20+5))))</f>
      </c>
    </row>
    <row r="27">
      <c r="B27" s="8">
        <f>IF(OR('23. Расчёты'!$B$20&lt;6,'23. Расчёты'!$B$24=""),1,IF(AND(ABS('23. Расчёты'!$B$23)&lt;3*'23. Расчёты'!$B$24,ABS('23. Расчёты'!$B$25)&lt;3*'23. Расчёты'!$B$26),1,0))</f>
      </c>
    </row>
    <row r="28">
      <c r="B28" s="8">
        <f>IF(OR('23. Расчёты'!$B$20&lt;2,'23. Расчёты'!$B$22=0),"",'23. Расчёты'!$B$21/('23. Расчёты'!$B$22/SQRT('23. Расчёты'!$B$20)))</f>
      </c>
    </row>
    <row r="29">
      <c r="B29" s="8">
        <f>IF('23. Расчёты'!$B$28="","",IFERROR(TDIST(ABS('23. Расчёты'!$B$28),'23. Расчёты'!$B$20-1,2),1))</f>
      </c>
    </row>
    <row r="30">
      <c r="B30" s="8">
        <f>IF(OR('23. Расчёты'!$B$22="",'23. Расчёты'!$B$22=0),"",'23. Расчёты'!$B$21/'23. Расчёты'!$B$22)</f>
      </c>
    </row>
    <row r="31">
      <c r="B31" s="8">
        <f>IF(OR('23. Расчёты'!$B$2&lt;2,'23. Расчёты'!$B$3&lt;2),"",('23. Расчёты'!$B$4-'23. Расчёты'!$B$5)/SQRT(((('23. Расчёты'!$B$2-1)*'23. Расчёты'!$B$6^2+('23. Расчёты'!$B$3-1)*'23. Расчёты'!$B$7^2)/('23. Расчёты'!$B$2+'23. Расчёты'!$B$3-2))*(1/'23. Расчёты'!$B$2+1/'23. Расчёты'!$B$3)))</f>
      </c>
    </row>
    <row r="32">
      <c r="B32" s="8">
        <f>IF(OR('23. Расчёты'!$B$2&lt;2,'23. Расчёты'!$B$3&lt;2),"",'23. Расчёты'!$B$2+'23. Расчёты'!$B$3-2)</f>
      </c>
    </row>
    <row r="33">
      <c r="B33" s="8">
        <f>IF('23. Расчёты'!$B$31="","",IFERROR(TDIST(ABS('23. Расчёты'!$B$31),'23. Расчёты'!$B$32,2),1))</f>
      </c>
    </row>
    <row r="34">
      <c r="B34" s="8">
        <f>IF('23. Расчёты'!$B$31="","",('23. Расчёты'!$B$4-'23. Расчёты'!$B$5)/SQRT(((('23. Расчёты'!$B$2-1)*'23. Расчёты'!$B$6^2+('23. Расчёты'!$B$3-1)*'23. Расчёты'!$B$7^2)/('23. Расчёты'!$B$2+'23. Расчёты'!$B$3-2))))</f>
      </c>
    </row>
    <row r="35">
      <c r="B35" s="8">
        <f>SUM('23. Расчёты'!$A$61:$A$180)</f>
      </c>
    </row>
    <row r="36">
      <c r="B36" s="8">
        <f>IF(OR('23. Расчёты'!$B$2=0,'23. Расчёты'!$B$3=0),"",'23. Расчёты'!$B$2*'23. Расчёты'!$B$3+'23. Расчёты'!$B$2*('23. Расчёты'!$B$2+1)/2-'23. Расчёты'!$B$35)</f>
      </c>
    </row>
    <row r="37">
      <c r="B37" s="8">
        <f>IF('23. Расчёты'!$B$36="","",MIN('23. Расчёты'!$B$36,'23. Расчёты'!$B$2*'23. Расчёты'!$B$3-'23. Расчёты'!$B$36))</f>
      </c>
    </row>
    <row r="38">
      <c r="B38" s="8">
        <f>IF(OR('23. Расчёты'!$B$2=0,'23. Расчёты'!$B$3=0),0,IFERROR(SUMPRODUCT((Выборка1&lt;&gt;"")*((COUNTIF(Выборка1,Выборка1)+COUNTIF(Выборка2,Выборка1))^2-1))+SUMPRODUCT((Выборка2&lt;&gt;"")*((COUNTIF(Выборка1,Выборка2)+COUNTIF(Выборка2,Выборка2))^2-1)),0))</f>
      </c>
    </row>
    <row r="39">
      <c r="B39" s="8">
        <f>IF(OR('23. Расчёты'!$B$37="",'23. Расчёты'!$B$2&lt;2,'23. Расчёты'!$B$3&lt;2),"",MAX(0,(ABS('23. Расчёты'!$B$37-'23. Расчёты'!$B$2*'23. Расчёты'!$B$3/2)-0.5)/SQRT('23. Расчёты'!$B$2*'23. Расчёты'!$B$3/12*(('23. Расчёты'!$B$2+'23. Расчёты'!$B$3)+1-'23. Расчёты'!$B$38/(('23. Расчёты'!$B$2+'23. Расчёты'!$B$3)*(('23. Расчёты'!$B$2+'23. Расчёты'!$B$3)-1))))))</f>
      </c>
    </row>
    <row r="40">
      <c r="B40" s="8">
        <f>IF('23. Расчёты'!$B$39="","",MIN(1,2*(1-NORMSDIST('23. Расчёты'!$B$39))))</f>
      </c>
    </row>
    <row r="41">
      <c r="B41" s="8">
        <f>SUMPRODUCT(('23. Расчёты'!$F$61:$F$180&gt;0)*'23. Расчёты'!$H$61:$H$180)</f>
      </c>
    </row>
    <row r="42">
      <c r="B42" s="8">
        <f>SUMPRODUCT(('23. Расчёты'!$F$61:$F$180&lt;0)*'23. Расчёты'!$H$61:$H$180)</f>
      </c>
    </row>
    <row r="43">
      <c r="B43" s="8">
        <f>IF('23. Расчёты'!$B$20=0,"",MIN('23. Расчёты'!$B$41,'23. Расчёты'!$B$42))</f>
      </c>
    </row>
    <row r="44">
      <c r="B44" s="8">
        <f>IF(OR('23. Расчёты'!$B$43="",COUNTIF('23. Расчёты'!$F$61:$F$180,"&lt;&gt;0")&lt;2),"",MAX(0,(ABS('23. Расчёты'!$B$43-(COUNTIF('23. Расчёты'!$F$61:$F$180,"&lt;&gt;0")*(COUNTIF('23. Расчёты'!$F$61:$F$180,"&lt;&gt;0")+1)/4))-0.5)/SQRT(MAX(0,COUNTIF('23. Расчёты'!$F$61:$F$180,"&lt;&gt;0")*(COUNTIF('23. Расчёты'!$F$61:$F$180,"&lt;&gt;0")+1)*(2*COUNTIF('23. Расчёты'!$F$61:$F$180,"&lt;&gt;0")+1)/24-(SUMPRODUCT(('23. Расчёты'!$F$61:$F$180&lt;&gt;0)*(COUNTIF('23. Расчёты'!$G$61:$G$180,ABS('23. Расчёты'!$F$61:$F$180))^2-1)))/48))))</f>
      </c>
    </row>
    <row r="45">
      <c r="B45" s="8">
        <f>IF('23. Расчёты'!$B$44="","",MIN(1,2*(1-NORMSDIST('23. Расчёты'!$B$44))))</f>
      </c>
    </row>
    <row r="46">
      <c r="B46" s="6">
        <f>IF(Режим="До и После",1,0)</f>
      </c>
    </row>
    <row r="47">
      <c r="B47" s="6">
        <f>IF('23. Расчёты'!$B$46=1,'23. Расчёты'!$B$27,IF(AND('23. Расчёты'!$B$14=1,'23. Расчёты'!$B$19=1),1,0))</f>
      </c>
    </row>
    <row r="48">
      <c r="B48" s="6">
        <f>IF(Шкала="порядковая",1,0)</f>
      </c>
    </row>
    <row r="49" ht="16" customHeight="1">
      <c r="B49" s="6" t="str">
        <f>IF('23. Расчёты'!$B$46=1,IF(AND('23. Расчёты'!$B$48=0,'23. Расчёты'!$B$47=1),"парный t-критерий Стьюдента","T-критерий Вилкоксона"),IF(AND('23. Расчёты'!$B$48=0,'23. Расчёты'!$B$47=1),"t-критерий Стьюдента","U-критерий Манна-Уитни"))</f>
      </c>
    </row>
    <row r="50">
      <c r="B50" s="8">
        <f>IF('23. Расчёты'!$B$46=1,IF(AND('23. Расчёты'!$B$48=0,'23. Расчёты'!$B$47=1),'23. Расчёты'!$B$28,'23. Расчёты'!$B$43),IF(AND('23. Расчёты'!$B$48=0,'23. Расчёты'!$B$47=1),'23. Расчёты'!$B$31,'23. Расчёты'!$B$37))</f>
      </c>
    </row>
    <row r="51">
      <c r="B51" s="8">
        <f>IF('23. Расчёты'!$B$46=1,IF(AND('23. Расчёты'!$B$48=0,'23. Расчёты'!$B$47=1),'23. Расчёты'!$B$29,'23. Расчёты'!$B$45),IF(AND('23. Расчёты'!$B$48=0,'23. Расчёты'!$B$47=1),'23. Расчёты'!$B$33,'23. Расчёты'!$B$40))</f>
      </c>
    </row>
    <row r="52" ht="16" customHeight="1">
      <c r="B52" s="6" t="str">
        <f>IF('23. Расчёты'!$B$48=1,"баллы теста — порядковая шкала, нормальность для рангов не проверяется",IF('23. Расчёты'!$B$47=1,"измерения, распределение близко к нормальному","измерения, распределение отклоняется от нормального"))</f>
      </c>
    </row>
    <row r="53">
      <c r="B53" s="8">
        <f>IF(OR('23. Расчёты'!$B$2&lt;3,'23. Расчёты'!$B$3&lt;3),"",IFERROR(CORREL(Выборка1,Выборка2),""))</f>
      </c>
    </row>
    <row r="54">
      <c r="B54" s="8">
        <f>IF(OR('23. Расчёты'!$B$2&lt;3,'23. Расчёты'!$B$3&lt;3),"",IFERROR(CORREL('23. Расчёты'!$C$61:$C$180,'23. Расчёты'!$D$61:$D$180),""))</f>
      </c>
    </row>
    <row r="55">
      <c r="B55" s="8">
        <f>IF(OR('23. Расчёты'!$B$4="",'23. Расчёты'!$B$5=""),"",'23. Расчёты'!$B$5-'23. Расчёты'!$B$4)</f>
      </c>
    </row>
    <row r="56">
      <c r="B56" s="8">
        <f>IF(OR('23. Расчёты'!$B$55="",'23. Расчёты'!$B$4=0),"",'23. Расчёты'!$B$55/ABS('23. Расчёты'!$B$4))</f>
      </c>
    </row>
    <row r="60" ht="29" customHeight="1">
      <c r="A60" s="10" t="inlineStr">
        <is>
          <t xml:space="preserve">Ранги и разности</t>
        </is>
      </c>
    </row>
    <row r="61">
      <c r="A61" s="8">
        <f>IF('2. Мои данные'!B12="",0,COUNTIF(Выборка1,"&lt;"&amp;'2. Мои данные'!B12)+COUNTIF(Выборка2,"&lt;"&amp;'2. Мои данные'!B12)+(COUNTIF(Выборка1,'2. Мои данные'!B12)+COUNTIF(Выборка2,'2. Мои данные'!B12)+1)/2)</f>
      </c>
      <c r="B61" s="8">
        <f>IF('2. Мои данные'!C12="",0,COUNTIF(Выборка1,"&lt;"&amp;'2. Мои данные'!C12)+COUNTIF(Выборка2,"&lt;"&amp;'2. Мои данные'!C12)+(COUNTIF(Выборка1,'2. Мои данные'!C12)+COUNTIF(Выборка2,'2. Мои данные'!C12)+1)/2)</f>
      </c>
      <c r="C61" s="8">
        <f>IF('2. Мои данные'!B12="","",COUNTIF(Выборка1,"&lt;"&amp;'2. Мои данные'!B12)+(COUNTIF(Выборка1,'2. Мои данные'!B12)+1)/2)</f>
      </c>
      <c r="D61" s="8">
        <f>IF('2. Мои данные'!C12="","",COUNTIF(Выборка2,"&lt;"&amp;'2. Мои данные'!C12)+(COUNTIF(Выборка2,'2. Мои данные'!C12)+1)/2)</f>
      </c>
      <c r="E61" s="8">
        <f>IF(OR('2. Мои данные'!B12="",'2. Мои данные'!C12=""),"",'2. Мои данные'!B12-'2. Мои данные'!C12)</f>
      </c>
      <c r="F61" s="8">
        <f>IF(OR('2. Мои данные'!B12="",'2. Мои данные'!C12=""),0,'2. Мои данные'!B12-'2. Мои данные'!C12)</f>
      </c>
      <c r="G61" s="8">
        <f>IF('23. Расчёты'!F61=0,"",ABS('23. Расчёты'!F61))</f>
      </c>
      <c r="H61" s="8">
        <f>IF('23. Расчёты'!F61=0,0,COUNTIF('23. Расчёты'!$G$61:$G$180,"&lt;"&amp;ABS('23. Расчёты'!F61))+(COUNTIF('23. Расчёты'!$G$61:$G$180,ABS('23. Расчёты'!F61))+1)/2)</f>
      </c>
    </row>
    <row r="62">
      <c r="A62" s="8">
        <f>IF('2. Мои данные'!B13="",0,COUNTIF(Выборка1,"&lt;"&amp;'2. Мои данные'!B13)+COUNTIF(Выборка2,"&lt;"&amp;'2. Мои данные'!B13)+(COUNTIF(Выборка1,'2. Мои данные'!B13)+COUNTIF(Выборка2,'2. Мои данные'!B13)+1)/2)</f>
      </c>
      <c r="B62" s="8">
        <f>IF('2. Мои данные'!C13="",0,COUNTIF(Выборка1,"&lt;"&amp;'2. Мои данные'!C13)+COUNTIF(Выборка2,"&lt;"&amp;'2. Мои данные'!C13)+(COUNTIF(Выборка1,'2. Мои данные'!C13)+COUNTIF(Выборка2,'2. Мои данные'!C13)+1)/2)</f>
      </c>
      <c r="C62" s="8">
        <f>IF('2. Мои данные'!B13="","",COUNTIF(Выборка1,"&lt;"&amp;'2. Мои данные'!B13)+(COUNTIF(Выборка1,'2. Мои данные'!B13)+1)/2)</f>
      </c>
      <c r="D62" s="8">
        <f>IF('2. Мои данные'!C13="","",COUNTIF(Выборка2,"&lt;"&amp;'2. Мои данные'!C13)+(COUNTIF(Выборка2,'2. Мои данные'!C13)+1)/2)</f>
      </c>
      <c r="E62" s="8">
        <f>IF(OR('2. Мои данные'!B13="",'2. Мои данные'!C13=""),"",'2. Мои данные'!B13-'2. Мои данные'!C13)</f>
      </c>
      <c r="F62" s="8">
        <f>IF(OR('2. Мои данные'!B13="",'2. Мои данные'!C13=""),0,'2. Мои данные'!B13-'2. Мои данные'!C13)</f>
      </c>
      <c r="G62" s="8">
        <f>IF('23. Расчёты'!F62=0,"",ABS('23. Расчёты'!F62))</f>
      </c>
      <c r="H62" s="8">
        <f>IF('23. Расчёты'!F62=0,0,COUNTIF('23. Расчёты'!$G$61:$G$180,"&lt;"&amp;ABS('23. Расчёты'!F62))+(COUNTIF('23. Расчёты'!$G$61:$G$180,ABS('23. Расчёты'!F62))+1)/2)</f>
      </c>
    </row>
    <row r="63">
      <c r="A63" s="8">
        <f>IF('2. Мои данные'!B14="",0,COUNTIF(Выборка1,"&lt;"&amp;'2. Мои данные'!B14)+COUNTIF(Выборка2,"&lt;"&amp;'2. Мои данные'!B14)+(COUNTIF(Выборка1,'2. Мои данные'!B14)+COUNTIF(Выборка2,'2. Мои данные'!B14)+1)/2)</f>
      </c>
      <c r="B63" s="8">
        <f>IF('2. Мои данные'!C14="",0,COUNTIF(Выборка1,"&lt;"&amp;'2. Мои данные'!C14)+COUNTIF(Выборка2,"&lt;"&amp;'2. Мои данные'!C14)+(COUNTIF(Выборка1,'2. Мои данные'!C14)+COUNTIF(Выборка2,'2. Мои данные'!C14)+1)/2)</f>
      </c>
      <c r="C63" s="8">
        <f>IF('2. Мои данные'!B14="","",COUNTIF(Выборка1,"&lt;"&amp;'2. Мои данные'!B14)+(COUNTIF(Выборка1,'2. Мои данные'!B14)+1)/2)</f>
      </c>
      <c r="D63" s="8">
        <f>IF('2. Мои данные'!C14="","",COUNTIF(Выборка2,"&lt;"&amp;'2. Мои данные'!C14)+(COUNTIF(Выборка2,'2. Мои данные'!C14)+1)/2)</f>
      </c>
      <c r="E63" s="8">
        <f>IF(OR('2. Мои данные'!B14="",'2. Мои данные'!C14=""),"",'2. Мои данные'!B14-'2. Мои данные'!C14)</f>
      </c>
      <c r="F63" s="8">
        <f>IF(OR('2. Мои данные'!B14="",'2. Мои данные'!C14=""),0,'2. Мои данные'!B14-'2. Мои данные'!C14)</f>
      </c>
      <c r="G63" s="8">
        <f>IF('23. Расчёты'!F63=0,"",ABS('23. Расчёты'!F63))</f>
      </c>
      <c r="H63" s="8">
        <f>IF('23. Расчёты'!F63=0,0,COUNTIF('23. Расчёты'!$G$61:$G$180,"&lt;"&amp;ABS('23. Расчёты'!F63))+(COUNTIF('23. Расчёты'!$G$61:$G$180,ABS('23. Расчёты'!F63))+1)/2)</f>
      </c>
    </row>
    <row r="64">
      <c r="A64" s="8">
        <f>IF('2. Мои данные'!B15="",0,COUNTIF(Выборка1,"&lt;"&amp;'2. Мои данные'!B15)+COUNTIF(Выборка2,"&lt;"&amp;'2. Мои данные'!B15)+(COUNTIF(Выборка1,'2. Мои данные'!B15)+COUNTIF(Выборка2,'2. Мои данные'!B15)+1)/2)</f>
      </c>
      <c r="B64" s="8">
        <f>IF('2. Мои данные'!C15="",0,COUNTIF(Выборка1,"&lt;"&amp;'2. Мои данные'!C15)+COUNTIF(Выборка2,"&lt;"&amp;'2. Мои данные'!C15)+(COUNTIF(Выборка1,'2. Мои данные'!C15)+COUNTIF(Выборка2,'2. Мои данные'!C15)+1)/2)</f>
      </c>
      <c r="C64" s="8">
        <f>IF('2. Мои данные'!B15="","",COUNTIF(Выборка1,"&lt;"&amp;'2. Мои данные'!B15)+(COUNTIF(Выборка1,'2. Мои данные'!B15)+1)/2)</f>
      </c>
      <c r="D64" s="8">
        <f>IF('2. Мои данные'!C15="","",COUNTIF(Выборка2,"&lt;"&amp;'2. Мои данные'!C15)+(COUNTIF(Выборка2,'2. Мои данные'!C15)+1)/2)</f>
      </c>
      <c r="E64" s="8">
        <f>IF(OR('2. Мои данные'!B15="",'2. Мои данные'!C15=""),"",'2. Мои данные'!B15-'2. Мои данные'!C15)</f>
      </c>
      <c r="F64" s="8">
        <f>IF(OR('2. Мои данные'!B15="",'2. Мои данные'!C15=""),0,'2. Мои данные'!B15-'2. Мои данные'!C15)</f>
      </c>
      <c r="G64" s="8">
        <f>IF('23. Расчёты'!F64=0,"",ABS('23. Расчёты'!F64))</f>
      </c>
      <c r="H64" s="8">
        <f>IF('23. Расчёты'!F64=0,0,COUNTIF('23. Расчёты'!$G$61:$G$180,"&lt;"&amp;ABS('23. Расчёты'!F64))+(COUNTIF('23. Расчёты'!$G$61:$G$180,ABS('23. Расчёты'!F64))+1)/2)</f>
      </c>
    </row>
    <row r="65">
      <c r="A65" s="8">
        <f>IF('2. Мои данные'!B16="",0,COUNTIF(Выборка1,"&lt;"&amp;'2. Мои данные'!B16)+COUNTIF(Выборка2,"&lt;"&amp;'2. Мои данные'!B16)+(COUNTIF(Выборка1,'2. Мои данные'!B16)+COUNTIF(Выборка2,'2. Мои данные'!B16)+1)/2)</f>
      </c>
      <c r="B65" s="8">
        <f>IF('2. Мои данные'!C16="",0,COUNTIF(Выборка1,"&lt;"&amp;'2. Мои данные'!C16)+COUNTIF(Выборка2,"&lt;"&amp;'2. Мои данные'!C16)+(COUNTIF(Выборка1,'2. Мои данные'!C16)+COUNTIF(Выборка2,'2. Мои данные'!C16)+1)/2)</f>
      </c>
      <c r="C65" s="8">
        <f>IF('2. Мои данные'!B16="","",COUNTIF(Выборка1,"&lt;"&amp;'2. Мои данные'!B16)+(COUNTIF(Выборка1,'2. Мои данные'!B16)+1)/2)</f>
      </c>
      <c r="D65" s="8">
        <f>IF('2. Мои данные'!C16="","",COUNTIF(Выборка2,"&lt;"&amp;'2. Мои данные'!C16)+(COUNTIF(Выборка2,'2. Мои данные'!C16)+1)/2)</f>
      </c>
      <c r="E65" s="8">
        <f>IF(OR('2. Мои данные'!B16="",'2. Мои данные'!C16=""),"",'2. Мои данные'!B16-'2. Мои данные'!C16)</f>
      </c>
      <c r="F65" s="8">
        <f>IF(OR('2. Мои данные'!B16="",'2. Мои данные'!C16=""),0,'2. Мои данные'!B16-'2. Мои данные'!C16)</f>
      </c>
      <c r="G65" s="8">
        <f>IF('23. Расчёты'!F65=0,"",ABS('23. Расчёты'!F65))</f>
      </c>
      <c r="H65" s="8">
        <f>IF('23. Расчёты'!F65=0,0,COUNTIF('23. Расчёты'!$G$61:$G$180,"&lt;"&amp;ABS('23. Расчёты'!F65))+(COUNTIF('23. Расчёты'!$G$61:$G$180,ABS('23. Расчёты'!F65))+1)/2)</f>
      </c>
    </row>
    <row r="66">
      <c r="A66" s="8">
        <f>IF('2. Мои данные'!B17="",0,COUNTIF(Выборка1,"&lt;"&amp;'2. Мои данные'!B17)+COUNTIF(Выборка2,"&lt;"&amp;'2. Мои данные'!B17)+(COUNTIF(Выборка1,'2. Мои данные'!B17)+COUNTIF(Выборка2,'2. Мои данные'!B17)+1)/2)</f>
      </c>
      <c r="B66" s="8">
        <f>IF('2. Мои данные'!C17="",0,COUNTIF(Выборка1,"&lt;"&amp;'2. Мои данные'!C17)+COUNTIF(Выборка2,"&lt;"&amp;'2. Мои данные'!C17)+(COUNTIF(Выборка1,'2. Мои данные'!C17)+COUNTIF(Выборка2,'2. Мои данные'!C17)+1)/2)</f>
      </c>
      <c r="C66" s="8">
        <f>IF('2. Мои данные'!B17="","",COUNTIF(Выборка1,"&lt;"&amp;'2. Мои данные'!B17)+(COUNTIF(Выборка1,'2. Мои данные'!B17)+1)/2)</f>
      </c>
      <c r="D66" s="8">
        <f>IF('2. Мои данные'!C17="","",COUNTIF(Выборка2,"&lt;"&amp;'2. Мои данные'!C17)+(COUNTIF(Выборка2,'2. Мои данные'!C17)+1)/2)</f>
      </c>
      <c r="E66" s="8">
        <f>IF(OR('2. Мои данные'!B17="",'2. Мои данные'!C17=""),"",'2. Мои данные'!B17-'2. Мои данные'!C17)</f>
      </c>
      <c r="F66" s="8">
        <f>IF(OR('2. Мои данные'!B17="",'2. Мои данные'!C17=""),0,'2. Мои данные'!B17-'2. Мои данные'!C17)</f>
      </c>
      <c r="G66" s="8">
        <f>IF('23. Расчёты'!F66=0,"",ABS('23. Расчёты'!F66))</f>
      </c>
      <c r="H66" s="8">
        <f>IF('23. Расчёты'!F66=0,0,COUNTIF('23. Расчёты'!$G$61:$G$180,"&lt;"&amp;ABS('23. Расчёты'!F66))+(COUNTIF('23. Расчёты'!$G$61:$G$180,ABS('23. Расчёты'!F66))+1)/2)</f>
      </c>
    </row>
    <row r="67">
      <c r="A67" s="8">
        <f>IF('2. Мои данные'!B18="",0,COUNTIF(Выборка1,"&lt;"&amp;'2. Мои данные'!B18)+COUNTIF(Выборка2,"&lt;"&amp;'2. Мои данные'!B18)+(COUNTIF(Выборка1,'2. Мои данные'!B18)+COUNTIF(Выборка2,'2. Мои данные'!B18)+1)/2)</f>
      </c>
      <c r="B67" s="8">
        <f>IF('2. Мои данные'!C18="",0,COUNTIF(Выборка1,"&lt;"&amp;'2. Мои данные'!C18)+COUNTIF(Выборка2,"&lt;"&amp;'2. Мои данные'!C18)+(COUNTIF(Выборка1,'2. Мои данные'!C18)+COUNTIF(Выборка2,'2. Мои данные'!C18)+1)/2)</f>
      </c>
      <c r="C67" s="8">
        <f>IF('2. Мои данные'!B18="","",COUNTIF(Выборка1,"&lt;"&amp;'2. Мои данные'!B18)+(COUNTIF(Выборка1,'2. Мои данные'!B18)+1)/2)</f>
      </c>
      <c r="D67" s="8">
        <f>IF('2. Мои данные'!C18="","",COUNTIF(Выборка2,"&lt;"&amp;'2. Мои данные'!C18)+(COUNTIF(Выборка2,'2. Мои данные'!C18)+1)/2)</f>
      </c>
      <c r="E67" s="8">
        <f>IF(OR('2. Мои данные'!B18="",'2. Мои данные'!C18=""),"",'2. Мои данные'!B18-'2. Мои данные'!C18)</f>
      </c>
      <c r="F67" s="8">
        <f>IF(OR('2. Мои данные'!B18="",'2. Мои данные'!C18=""),0,'2. Мои данные'!B18-'2. Мои данные'!C18)</f>
      </c>
      <c r="G67" s="8">
        <f>IF('23. Расчёты'!F67=0,"",ABS('23. Расчёты'!F67))</f>
      </c>
      <c r="H67" s="8">
        <f>IF('23. Расчёты'!F67=0,0,COUNTIF('23. Расчёты'!$G$61:$G$180,"&lt;"&amp;ABS('23. Расчёты'!F67))+(COUNTIF('23. Расчёты'!$G$61:$G$180,ABS('23. Расчёты'!F67))+1)/2)</f>
      </c>
    </row>
    <row r="68">
      <c r="A68" s="8">
        <f>IF('2. Мои данные'!B19="",0,COUNTIF(Выборка1,"&lt;"&amp;'2. Мои данные'!B19)+COUNTIF(Выборка2,"&lt;"&amp;'2. Мои данные'!B19)+(COUNTIF(Выборка1,'2. Мои данные'!B19)+COUNTIF(Выборка2,'2. Мои данные'!B19)+1)/2)</f>
      </c>
      <c r="B68" s="8">
        <f>IF('2. Мои данные'!C19="",0,COUNTIF(Выборка1,"&lt;"&amp;'2. Мои данные'!C19)+COUNTIF(Выборка2,"&lt;"&amp;'2. Мои данные'!C19)+(COUNTIF(Выборка1,'2. Мои данные'!C19)+COUNTIF(Выборка2,'2. Мои данные'!C19)+1)/2)</f>
      </c>
      <c r="C68" s="8">
        <f>IF('2. Мои данные'!B19="","",COUNTIF(Выборка1,"&lt;"&amp;'2. Мои данные'!B19)+(COUNTIF(Выборка1,'2. Мои данные'!B19)+1)/2)</f>
      </c>
      <c r="D68" s="8">
        <f>IF('2. Мои данные'!C19="","",COUNTIF(Выборка2,"&lt;"&amp;'2. Мои данные'!C19)+(COUNTIF(Выборка2,'2. Мои данные'!C19)+1)/2)</f>
      </c>
      <c r="E68" s="8">
        <f>IF(OR('2. Мои данные'!B19="",'2. Мои данные'!C19=""),"",'2. Мои данные'!B19-'2. Мои данные'!C19)</f>
      </c>
      <c r="F68" s="8">
        <f>IF(OR('2. Мои данные'!B19="",'2. Мои данные'!C19=""),0,'2. Мои данные'!B19-'2. Мои данные'!C19)</f>
      </c>
      <c r="G68" s="8">
        <f>IF('23. Расчёты'!F68=0,"",ABS('23. Расчёты'!F68))</f>
      </c>
      <c r="H68" s="8">
        <f>IF('23. Расчёты'!F68=0,0,COUNTIF('23. Расчёты'!$G$61:$G$180,"&lt;"&amp;ABS('23. Расчёты'!F68))+(COUNTIF('23. Расчёты'!$G$61:$G$180,ABS('23. Расчёты'!F68))+1)/2)</f>
      </c>
    </row>
    <row r="69">
      <c r="A69" s="8">
        <f>IF('2. Мои данные'!B20="",0,COUNTIF(Выборка1,"&lt;"&amp;'2. Мои данные'!B20)+COUNTIF(Выборка2,"&lt;"&amp;'2. Мои данные'!B20)+(COUNTIF(Выборка1,'2. Мои данные'!B20)+COUNTIF(Выборка2,'2. Мои данные'!B20)+1)/2)</f>
      </c>
      <c r="B69" s="8">
        <f>IF('2. Мои данные'!C20="",0,COUNTIF(Выборка1,"&lt;"&amp;'2. Мои данные'!C20)+COUNTIF(Выборка2,"&lt;"&amp;'2. Мои данные'!C20)+(COUNTIF(Выборка1,'2. Мои данные'!C20)+COUNTIF(Выборка2,'2. Мои данные'!C20)+1)/2)</f>
      </c>
      <c r="C69" s="8">
        <f>IF('2. Мои данные'!B20="","",COUNTIF(Выборка1,"&lt;"&amp;'2. Мои данные'!B20)+(COUNTIF(Выборка1,'2. Мои данные'!B20)+1)/2)</f>
      </c>
      <c r="D69" s="8">
        <f>IF('2. Мои данные'!C20="","",COUNTIF(Выборка2,"&lt;"&amp;'2. Мои данные'!C20)+(COUNTIF(Выборка2,'2. Мои данные'!C20)+1)/2)</f>
      </c>
      <c r="E69" s="8">
        <f>IF(OR('2. Мои данные'!B20="",'2. Мои данные'!C20=""),"",'2. Мои данные'!B20-'2. Мои данные'!C20)</f>
      </c>
      <c r="F69" s="8">
        <f>IF(OR('2. Мои данные'!B20="",'2. Мои данные'!C20=""),0,'2. Мои данные'!B20-'2. Мои данные'!C20)</f>
      </c>
      <c r="G69" s="8">
        <f>IF('23. Расчёты'!F69=0,"",ABS('23. Расчёты'!F69))</f>
      </c>
      <c r="H69" s="8">
        <f>IF('23. Расчёты'!F69=0,0,COUNTIF('23. Расчёты'!$G$61:$G$180,"&lt;"&amp;ABS('23. Расчёты'!F69))+(COUNTIF('23. Расчёты'!$G$61:$G$180,ABS('23. Расчёты'!F69))+1)/2)</f>
      </c>
    </row>
    <row r="70">
      <c r="A70" s="8">
        <f>IF('2. Мои данные'!B21="",0,COUNTIF(Выборка1,"&lt;"&amp;'2. Мои данные'!B21)+COUNTIF(Выборка2,"&lt;"&amp;'2. Мои данные'!B21)+(COUNTIF(Выборка1,'2. Мои данные'!B21)+COUNTIF(Выборка2,'2. Мои данные'!B21)+1)/2)</f>
      </c>
      <c r="B70" s="8">
        <f>IF('2. Мои данные'!C21="",0,COUNTIF(Выборка1,"&lt;"&amp;'2. Мои данные'!C21)+COUNTIF(Выборка2,"&lt;"&amp;'2. Мои данные'!C21)+(COUNTIF(Выборка1,'2. Мои данные'!C21)+COUNTIF(Выборка2,'2. Мои данные'!C21)+1)/2)</f>
      </c>
      <c r="C70" s="8">
        <f>IF('2. Мои данные'!B21="","",COUNTIF(Выборка1,"&lt;"&amp;'2. Мои данные'!B21)+(COUNTIF(Выборка1,'2. Мои данные'!B21)+1)/2)</f>
      </c>
      <c r="D70" s="8">
        <f>IF('2. Мои данные'!C21="","",COUNTIF(Выборка2,"&lt;"&amp;'2. Мои данные'!C21)+(COUNTIF(Выборка2,'2. Мои данные'!C21)+1)/2)</f>
      </c>
      <c r="E70" s="8">
        <f>IF(OR('2. Мои данные'!B21="",'2. Мои данные'!C21=""),"",'2. Мои данные'!B21-'2. Мои данные'!C21)</f>
      </c>
      <c r="F70" s="8">
        <f>IF(OR('2. Мои данные'!B21="",'2. Мои данные'!C21=""),0,'2. Мои данные'!B21-'2. Мои данные'!C21)</f>
      </c>
      <c r="G70" s="8">
        <f>IF('23. Расчёты'!F70=0,"",ABS('23. Расчёты'!F70))</f>
      </c>
      <c r="H70" s="8">
        <f>IF('23. Расчёты'!F70=0,0,COUNTIF('23. Расчёты'!$G$61:$G$180,"&lt;"&amp;ABS('23. Расчёты'!F70))+(COUNTIF('23. Расчёты'!$G$61:$G$180,ABS('23. Расчёты'!F70))+1)/2)</f>
      </c>
    </row>
    <row r="71">
      <c r="A71" s="8">
        <f>IF('2. Мои данные'!B22="",0,COUNTIF(Выборка1,"&lt;"&amp;'2. Мои данные'!B22)+COUNTIF(Выборка2,"&lt;"&amp;'2. Мои данные'!B22)+(COUNTIF(Выборка1,'2. Мои данные'!B22)+COUNTIF(Выборка2,'2. Мои данные'!B22)+1)/2)</f>
      </c>
      <c r="B71" s="8">
        <f>IF('2. Мои данные'!C22="",0,COUNTIF(Выборка1,"&lt;"&amp;'2. Мои данные'!C22)+COUNTIF(Выборка2,"&lt;"&amp;'2. Мои данные'!C22)+(COUNTIF(Выборка1,'2. Мои данные'!C22)+COUNTIF(Выборка2,'2. Мои данные'!C22)+1)/2)</f>
      </c>
      <c r="C71" s="8">
        <f>IF('2. Мои данные'!B22="","",COUNTIF(Выборка1,"&lt;"&amp;'2. Мои данные'!B22)+(COUNTIF(Выборка1,'2. Мои данные'!B22)+1)/2)</f>
      </c>
      <c r="D71" s="8">
        <f>IF('2. Мои данные'!C22="","",COUNTIF(Выборка2,"&lt;"&amp;'2. Мои данные'!C22)+(COUNTIF(Выборка2,'2. Мои данные'!C22)+1)/2)</f>
      </c>
      <c r="E71" s="8">
        <f>IF(OR('2. Мои данные'!B22="",'2. Мои данные'!C22=""),"",'2. Мои данные'!B22-'2. Мои данные'!C22)</f>
      </c>
      <c r="F71" s="8">
        <f>IF(OR('2. Мои данные'!B22="",'2. Мои данные'!C22=""),0,'2. Мои данные'!B22-'2. Мои данные'!C22)</f>
      </c>
      <c r="G71" s="8">
        <f>IF('23. Расчёты'!F71=0,"",ABS('23. Расчёты'!F71))</f>
      </c>
      <c r="H71" s="8">
        <f>IF('23. Расчёты'!F71=0,0,COUNTIF('23. Расчёты'!$G$61:$G$180,"&lt;"&amp;ABS('23. Расчёты'!F71))+(COUNTIF('23. Расчёты'!$G$61:$G$180,ABS('23. Расчёты'!F71))+1)/2)</f>
      </c>
    </row>
    <row r="72">
      <c r="A72" s="8">
        <f>IF('2. Мои данные'!B23="",0,COUNTIF(Выборка1,"&lt;"&amp;'2. Мои данные'!B23)+COUNTIF(Выборка2,"&lt;"&amp;'2. Мои данные'!B23)+(COUNTIF(Выборка1,'2. Мои данные'!B23)+COUNTIF(Выборка2,'2. Мои данные'!B23)+1)/2)</f>
      </c>
      <c r="B72" s="8">
        <f>IF('2. Мои данные'!C23="",0,COUNTIF(Выборка1,"&lt;"&amp;'2. Мои данные'!C23)+COUNTIF(Выборка2,"&lt;"&amp;'2. Мои данные'!C23)+(COUNTIF(Выборка1,'2. Мои данные'!C23)+COUNTIF(Выборка2,'2. Мои данные'!C23)+1)/2)</f>
      </c>
      <c r="C72" s="8">
        <f>IF('2. Мои данные'!B23="","",COUNTIF(Выборка1,"&lt;"&amp;'2. Мои данные'!B23)+(COUNTIF(Выборка1,'2. Мои данные'!B23)+1)/2)</f>
      </c>
      <c r="D72" s="8">
        <f>IF('2. Мои данные'!C23="","",COUNTIF(Выборка2,"&lt;"&amp;'2. Мои данные'!C23)+(COUNTIF(Выборка2,'2. Мои данные'!C23)+1)/2)</f>
      </c>
      <c r="E72" s="8">
        <f>IF(OR('2. Мои данные'!B23="",'2. Мои данные'!C23=""),"",'2. Мои данные'!B23-'2. Мои данные'!C23)</f>
      </c>
      <c r="F72" s="8">
        <f>IF(OR('2. Мои данные'!B23="",'2. Мои данные'!C23=""),0,'2. Мои данные'!B23-'2. Мои данные'!C23)</f>
      </c>
      <c r="G72" s="8">
        <f>IF('23. Расчёты'!F72=0,"",ABS('23. Расчёты'!F72))</f>
      </c>
      <c r="H72" s="8">
        <f>IF('23. Расчёты'!F72=0,0,COUNTIF('23. Расчёты'!$G$61:$G$180,"&lt;"&amp;ABS('23. Расчёты'!F72))+(COUNTIF('23. Расчёты'!$G$61:$G$180,ABS('23. Расчёты'!F72))+1)/2)</f>
      </c>
    </row>
    <row r="73">
      <c r="A73" s="8">
        <f>IF('2. Мои данные'!B24="",0,COUNTIF(Выборка1,"&lt;"&amp;'2. Мои данные'!B24)+COUNTIF(Выборка2,"&lt;"&amp;'2. Мои данные'!B24)+(COUNTIF(Выборка1,'2. Мои данные'!B24)+COUNTIF(Выборка2,'2. Мои данные'!B24)+1)/2)</f>
      </c>
      <c r="B73" s="8">
        <f>IF('2. Мои данные'!C24="",0,COUNTIF(Выборка1,"&lt;"&amp;'2. Мои данные'!C24)+COUNTIF(Выборка2,"&lt;"&amp;'2. Мои данные'!C24)+(COUNTIF(Выборка1,'2. Мои данные'!C24)+COUNTIF(Выборка2,'2. Мои данные'!C24)+1)/2)</f>
      </c>
      <c r="C73" s="8">
        <f>IF('2. Мои данные'!B24="","",COUNTIF(Выборка1,"&lt;"&amp;'2. Мои данные'!B24)+(COUNTIF(Выборка1,'2. Мои данные'!B24)+1)/2)</f>
      </c>
      <c r="D73" s="8">
        <f>IF('2. Мои данные'!C24="","",COUNTIF(Выборка2,"&lt;"&amp;'2. Мои данные'!C24)+(COUNTIF(Выборка2,'2. Мои данные'!C24)+1)/2)</f>
      </c>
      <c r="E73" s="8">
        <f>IF(OR('2. Мои данные'!B24="",'2. Мои данные'!C24=""),"",'2. Мои данные'!B24-'2. Мои данные'!C24)</f>
      </c>
      <c r="F73" s="8">
        <f>IF(OR('2. Мои данные'!B24="",'2. Мои данные'!C24=""),0,'2. Мои данные'!B24-'2. Мои данные'!C24)</f>
      </c>
      <c r="G73" s="8">
        <f>IF('23. Расчёты'!F73=0,"",ABS('23. Расчёты'!F73))</f>
      </c>
      <c r="H73" s="8">
        <f>IF('23. Расчёты'!F73=0,0,COUNTIF('23. Расчёты'!$G$61:$G$180,"&lt;"&amp;ABS('23. Расчёты'!F73))+(COUNTIF('23. Расчёты'!$G$61:$G$180,ABS('23. Расчёты'!F73))+1)/2)</f>
      </c>
    </row>
    <row r="74">
      <c r="A74" s="8">
        <f>IF('2. Мои данные'!B25="",0,COUNTIF(Выборка1,"&lt;"&amp;'2. Мои данные'!B25)+COUNTIF(Выборка2,"&lt;"&amp;'2. Мои данные'!B25)+(COUNTIF(Выборка1,'2. Мои данные'!B25)+COUNTIF(Выборка2,'2. Мои данные'!B25)+1)/2)</f>
      </c>
      <c r="B74" s="8">
        <f>IF('2. Мои данные'!C25="",0,COUNTIF(Выборка1,"&lt;"&amp;'2. Мои данные'!C25)+COUNTIF(Выборка2,"&lt;"&amp;'2. Мои данные'!C25)+(COUNTIF(Выборка1,'2. Мои данные'!C25)+COUNTIF(Выборка2,'2. Мои данные'!C25)+1)/2)</f>
      </c>
      <c r="C74" s="8">
        <f>IF('2. Мои данные'!B25="","",COUNTIF(Выборка1,"&lt;"&amp;'2. Мои данные'!B25)+(COUNTIF(Выборка1,'2. Мои данные'!B25)+1)/2)</f>
      </c>
      <c r="D74" s="8">
        <f>IF('2. Мои данные'!C25="","",COUNTIF(Выборка2,"&lt;"&amp;'2. Мои данные'!C25)+(COUNTIF(Выборка2,'2. Мои данные'!C25)+1)/2)</f>
      </c>
      <c r="E74" s="8">
        <f>IF(OR('2. Мои данные'!B25="",'2. Мои данные'!C25=""),"",'2. Мои данные'!B25-'2. Мои данные'!C25)</f>
      </c>
      <c r="F74" s="8">
        <f>IF(OR('2. Мои данные'!B25="",'2. Мои данные'!C25=""),0,'2. Мои данные'!B25-'2. Мои данные'!C25)</f>
      </c>
      <c r="G74" s="8">
        <f>IF('23. Расчёты'!F74=0,"",ABS('23. Расчёты'!F74))</f>
      </c>
      <c r="H74" s="8">
        <f>IF('23. Расчёты'!F74=0,0,COUNTIF('23. Расчёты'!$G$61:$G$180,"&lt;"&amp;ABS('23. Расчёты'!F74))+(COUNTIF('23. Расчёты'!$G$61:$G$180,ABS('23. Расчёты'!F74))+1)/2)</f>
      </c>
    </row>
    <row r="75">
      <c r="A75" s="8">
        <f>IF('2. Мои данные'!B26="",0,COUNTIF(Выборка1,"&lt;"&amp;'2. Мои данные'!B26)+COUNTIF(Выборка2,"&lt;"&amp;'2. Мои данные'!B26)+(COUNTIF(Выборка1,'2. Мои данные'!B26)+COUNTIF(Выборка2,'2. Мои данные'!B26)+1)/2)</f>
      </c>
      <c r="B75" s="8">
        <f>IF('2. Мои данные'!C26="",0,COUNTIF(Выборка1,"&lt;"&amp;'2. Мои данные'!C26)+COUNTIF(Выборка2,"&lt;"&amp;'2. Мои данные'!C26)+(COUNTIF(Выборка1,'2. Мои данные'!C26)+COUNTIF(Выборка2,'2. Мои данные'!C26)+1)/2)</f>
      </c>
      <c r="C75" s="8">
        <f>IF('2. Мои данные'!B26="","",COUNTIF(Выборка1,"&lt;"&amp;'2. Мои данные'!B26)+(COUNTIF(Выборка1,'2. Мои данные'!B26)+1)/2)</f>
      </c>
      <c r="D75" s="8">
        <f>IF('2. Мои данные'!C26="","",COUNTIF(Выборка2,"&lt;"&amp;'2. Мои данные'!C26)+(COUNTIF(Выборка2,'2. Мои данные'!C26)+1)/2)</f>
      </c>
      <c r="E75" s="8">
        <f>IF(OR('2. Мои данные'!B26="",'2. Мои данные'!C26=""),"",'2. Мои данные'!B26-'2. Мои данные'!C26)</f>
      </c>
      <c r="F75" s="8">
        <f>IF(OR('2. Мои данные'!B26="",'2. Мои данные'!C26=""),0,'2. Мои данные'!B26-'2. Мои данные'!C26)</f>
      </c>
      <c r="G75" s="8">
        <f>IF('23. Расчёты'!F75=0,"",ABS('23. Расчёты'!F75))</f>
      </c>
      <c r="H75" s="8">
        <f>IF('23. Расчёты'!F75=0,0,COUNTIF('23. Расчёты'!$G$61:$G$180,"&lt;"&amp;ABS('23. Расчёты'!F75))+(COUNTIF('23. Расчёты'!$G$61:$G$180,ABS('23. Расчёты'!F75))+1)/2)</f>
      </c>
    </row>
    <row r="76">
      <c r="A76" s="8">
        <f>IF('2. Мои данные'!B27="",0,COUNTIF(Выборка1,"&lt;"&amp;'2. Мои данные'!B27)+COUNTIF(Выборка2,"&lt;"&amp;'2. Мои данные'!B27)+(COUNTIF(Выборка1,'2. Мои данные'!B27)+COUNTIF(Выборка2,'2. Мои данные'!B27)+1)/2)</f>
      </c>
      <c r="B76" s="8">
        <f>IF('2. Мои данные'!C27="",0,COUNTIF(Выборка1,"&lt;"&amp;'2. Мои данные'!C27)+COUNTIF(Выборка2,"&lt;"&amp;'2. Мои данные'!C27)+(COUNTIF(Выборка1,'2. Мои данные'!C27)+COUNTIF(Выборка2,'2. Мои данные'!C27)+1)/2)</f>
      </c>
      <c r="C76" s="8">
        <f>IF('2. Мои данные'!B27="","",COUNTIF(Выборка1,"&lt;"&amp;'2. Мои данные'!B27)+(COUNTIF(Выборка1,'2. Мои данные'!B27)+1)/2)</f>
      </c>
      <c r="D76" s="8">
        <f>IF('2. Мои данные'!C27="","",COUNTIF(Выборка2,"&lt;"&amp;'2. Мои данные'!C27)+(COUNTIF(Выборка2,'2. Мои данные'!C27)+1)/2)</f>
      </c>
      <c r="E76" s="8">
        <f>IF(OR('2. Мои данные'!B27="",'2. Мои данные'!C27=""),"",'2. Мои данные'!B27-'2. Мои данные'!C27)</f>
      </c>
      <c r="F76" s="8">
        <f>IF(OR('2. Мои данные'!B27="",'2. Мои данные'!C27=""),0,'2. Мои данные'!B27-'2. Мои данные'!C27)</f>
      </c>
      <c r="G76" s="8">
        <f>IF('23. Расчёты'!F76=0,"",ABS('23. Расчёты'!F76))</f>
      </c>
      <c r="H76" s="8">
        <f>IF('23. Расчёты'!F76=0,0,COUNTIF('23. Расчёты'!$G$61:$G$180,"&lt;"&amp;ABS('23. Расчёты'!F76))+(COUNTIF('23. Расчёты'!$G$61:$G$180,ABS('23. Расчёты'!F76))+1)/2)</f>
      </c>
    </row>
    <row r="77">
      <c r="A77" s="8">
        <f>IF('2. Мои данные'!B28="",0,COUNTIF(Выборка1,"&lt;"&amp;'2. Мои данные'!B28)+COUNTIF(Выборка2,"&lt;"&amp;'2. Мои данные'!B28)+(COUNTIF(Выборка1,'2. Мои данные'!B28)+COUNTIF(Выборка2,'2. Мои данные'!B28)+1)/2)</f>
      </c>
      <c r="B77" s="8">
        <f>IF('2. Мои данные'!C28="",0,COUNTIF(Выборка1,"&lt;"&amp;'2. Мои данные'!C28)+COUNTIF(Выборка2,"&lt;"&amp;'2. Мои данные'!C28)+(COUNTIF(Выборка1,'2. Мои данные'!C28)+COUNTIF(Выборка2,'2. Мои данные'!C28)+1)/2)</f>
      </c>
      <c r="C77" s="8">
        <f>IF('2. Мои данные'!B28="","",COUNTIF(Выборка1,"&lt;"&amp;'2. Мои данные'!B28)+(COUNTIF(Выборка1,'2. Мои данные'!B28)+1)/2)</f>
      </c>
      <c r="D77" s="8">
        <f>IF('2. Мои данные'!C28="","",COUNTIF(Выборка2,"&lt;"&amp;'2. Мои данные'!C28)+(COUNTIF(Выборка2,'2. Мои данные'!C28)+1)/2)</f>
      </c>
      <c r="E77" s="8">
        <f>IF(OR('2. Мои данные'!B28="",'2. Мои данные'!C28=""),"",'2. Мои данные'!B28-'2. Мои данные'!C28)</f>
      </c>
      <c r="F77" s="8">
        <f>IF(OR('2. Мои данные'!B28="",'2. Мои данные'!C28=""),0,'2. Мои данные'!B28-'2. Мои данные'!C28)</f>
      </c>
      <c r="G77" s="8">
        <f>IF('23. Расчёты'!F77=0,"",ABS('23. Расчёты'!F77))</f>
      </c>
      <c r="H77" s="8">
        <f>IF('23. Расчёты'!F77=0,0,COUNTIF('23. Расчёты'!$G$61:$G$180,"&lt;"&amp;ABS('23. Расчёты'!F77))+(COUNTIF('23. Расчёты'!$G$61:$G$180,ABS('23. Расчёты'!F77))+1)/2)</f>
      </c>
    </row>
    <row r="78">
      <c r="A78" s="8">
        <f>IF('2. Мои данные'!B29="",0,COUNTIF(Выборка1,"&lt;"&amp;'2. Мои данные'!B29)+COUNTIF(Выборка2,"&lt;"&amp;'2. Мои данные'!B29)+(COUNTIF(Выборка1,'2. Мои данные'!B29)+COUNTIF(Выборка2,'2. Мои данные'!B29)+1)/2)</f>
      </c>
      <c r="B78" s="8">
        <f>IF('2. Мои данные'!C29="",0,COUNTIF(Выборка1,"&lt;"&amp;'2. Мои данные'!C29)+COUNTIF(Выборка2,"&lt;"&amp;'2. Мои данные'!C29)+(COUNTIF(Выборка1,'2. Мои данные'!C29)+COUNTIF(Выборка2,'2. Мои данные'!C29)+1)/2)</f>
      </c>
      <c r="C78" s="8">
        <f>IF('2. Мои данные'!B29="","",COUNTIF(Выборка1,"&lt;"&amp;'2. Мои данные'!B29)+(COUNTIF(Выборка1,'2. Мои данные'!B29)+1)/2)</f>
      </c>
      <c r="D78" s="8">
        <f>IF('2. Мои данные'!C29="","",COUNTIF(Выборка2,"&lt;"&amp;'2. Мои данные'!C29)+(COUNTIF(Выборка2,'2. Мои данные'!C29)+1)/2)</f>
      </c>
      <c r="E78" s="8">
        <f>IF(OR('2. Мои данные'!B29="",'2. Мои данные'!C29=""),"",'2. Мои данные'!B29-'2. Мои данные'!C29)</f>
      </c>
      <c r="F78" s="8">
        <f>IF(OR('2. Мои данные'!B29="",'2. Мои данные'!C29=""),0,'2. Мои данные'!B29-'2. Мои данные'!C29)</f>
      </c>
      <c r="G78" s="8">
        <f>IF('23. Расчёты'!F78=0,"",ABS('23. Расчёты'!F78))</f>
      </c>
      <c r="H78" s="8">
        <f>IF('23. Расчёты'!F78=0,0,COUNTIF('23. Расчёты'!$G$61:$G$180,"&lt;"&amp;ABS('23. Расчёты'!F78))+(COUNTIF('23. Расчёты'!$G$61:$G$180,ABS('23. Расчёты'!F78))+1)/2)</f>
      </c>
    </row>
    <row r="79">
      <c r="A79" s="8">
        <f>IF('2. Мои данные'!B30="",0,COUNTIF(Выборка1,"&lt;"&amp;'2. Мои данные'!B30)+COUNTIF(Выборка2,"&lt;"&amp;'2. Мои данные'!B30)+(COUNTIF(Выборка1,'2. Мои данные'!B30)+COUNTIF(Выборка2,'2. Мои данные'!B30)+1)/2)</f>
      </c>
      <c r="B79" s="8">
        <f>IF('2. Мои данные'!C30="",0,COUNTIF(Выборка1,"&lt;"&amp;'2. Мои данные'!C30)+COUNTIF(Выборка2,"&lt;"&amp;'2. Мои данные'!C30)+(COUNTIF(Выборка1,'2. Мои данные'!C30)+COUNTIF(Выборка2,'2. Мои данные'!C30)+1)/2)</f>
      </c>
      <c r="C79" s="8">
        <f>IF('2. Мои данные'!B30="","",COUNTIF(Выборка1,"&lt;"&amp;'2. Мои данные'!B30)+(COUNTIF(Выборка1,'2. Мои данные'!B30)+1)/2)</f>
      </c>
      <c r="D79" s="8">
        <f>IF('2. Мои данные'!C30="","",COUNTIF(Выборка2,"&lt;"&amp;'2. Мои данные'!C30)+(COUNTIF(Выборка2,'2. Мои данные'!C30)+1)/2)</f>
      </c>
      <c r="E79" s="8">
        <f>IF(OR('2. Мои данные'!B30="",'2. Мои данные'!C30=""),"",'2. Мои данные'!B30-'2. Мои данные'!C30)</f>
      </c>
      <c r="F79" s="8">
        <f>IF(OR('2. Мои данные'!B30="",'2. Мои данные'!C30=""),0,'2. Мои данные'!B30-'2. Мои данные'!C30)</f>
      </c>
      <c r="G79" s="8">
        <f>IF('23. Расчёты'!F79=0,"",ABS('23. Расчёты'!F79))</f>
      </c>
      <c r="H79" s="8">
        <f>IF('23. Расчёты'!F79=0,0,COUNTIF('23. Расчёты'!$G$61:$G$180,"&lt;"&amp;ABS('23. Расчёты'!F79))+(COUNTIF('23. Расчёты'!$G$61:$G$180,ABS('23. Расчёты'!F79))+1)/2)</f>
      </c>
    </row>
    <row r="80">
      <c r="A80" s="8">
        <f>IF('2. Мои данные'!B31="",0,COUNTIF(Выборка1,"&lt;"&amp;'2. Мои данные'!B31)+COUNTIF(Выборка2,"&lt;"&amp;'2. Мои данные'!B31)+(COUNTIF(Выборка1,'2. Мои данные'!B31)+COUNTIF(Выборка2,'2. Мои данные'!B31)+1)/2)</f>
      </c>
      <c r="B80" s="8">
        <f>IF('2. Мои данные'!C31="",0,COUNTIF(Выборка1,"&lt;"&amp;'2. Мои данные'!C31)+COUNTIF(Выборка2,"&lt;"&amp;'2. Мои данные'!C31)+(COUNTIF(Выборка1,'2. Мои данные'!C31)+COUNTIF(Выборка2,'2. Мои данные'!C31)+1)/2)</f>
      </c>
      <c r="C80" s="8">
        <f>IF('2. Мои данные'!B31="","",COUNTIF(Выборка1,"&lt;"&amp;'2. Мои данные'!B31)+(COUNTIF(Выборка1,'2. Мои данные'!B31)+1)/2)</f>
      </c>
      <c r="D80" s="8">
        <f>IF('2. Мои данные'!C31="","",COUNTIF(Выборка2,"&lt;"&amp;'2. Мои данные'!C31)+(COUNTIF(Выборка2,'2. Мои данные'!C31)+1)/2)</f>
      </c>
      <c r="E80" s="8">
        <f>IF(OR('2. Мои данные'!B31="",'2. Мои данные'!C31=""),"",'2. Мои данные'!B31-'2. Мои данные'!C31)</f>
      </c>
      <c r="F80" s="8">
        <f>IF(OR('2. Мои данные'!B31="",'2. Мои данные'!C31=""),0,'2. Мои данные'!B31-'2. Мои данные'!C31)</f>
      </c>
      <c r="G80" s="8">
        <f>IF('23. Расчёты'!F80=0,"",ABS('23. Расчёты'!F80))</f>
      </c>
      <c r="H80" s="8">
        <f>IF('23. Расчёты'!F80=0,0,COUNTIF('23. Расчёты'!$G$61:$G$180,"&lt;"&amp;ABS('23. Расчёты'!F80))+(COUNTIF('23. Расчёты'!$G$61:$G$180,ABS('23. Расчёты'!F80))+1)/2)</f>
      </c>
    </row>
    <row r="81">
      <c r="A81" s="8">
        <f>IF('2. Мои данные'!B32="",0,COUNTIF(Выборка1,"&lt;"&amp;'2. Мои данные'!B32)+COUNTIF(Выборка2,"&lt;"&amp;'2. Мои данные'!B32)+(COUNTIF(Выборка1,'2. Мои данные'!B32)+COUNTIF(Выборка2,'2. Мои данные'!B32)+1)/2)</f>
      </c>
      <c r="B81" s="8">
        <f>IF('2. Мои данные'!C32="",0,COUNTIF(Выборка1,"&lt;"&amp;'2. Мои данные'!C32)+COUNTIF(Выборка2,"&lt;"&amp;'2. Мои данные'!C32)+(COUNTIF(Выборка1,'2. Мои данные'!C32)+COUNTIF(Выборка2,'2. Мои данные'!C32)+1)/2)</f>
      </c>
      <c r="C81" s="8">
        <f>IF('2. Мои данные'!B32="","",COUNTIF(Выборка1,"&lt;"&amp;'2. Мои данные'!B32)+(COUNTIF(Выборка1,'2. Мои данные'!B32)+1)/2)</f>
      </c>
      <c r="D81" s="8">
        <f>IF('2. Мои данные'!C32="","",COUNTIF(Выборка2,"&lt;"&amp;'2. Мои данные'!C32)+(COUNTIF(Выборка2,'2. Мои данные'!C32)+1)/2)</f>
      </c>
      <c r="E81" s="8">
        <f>IF(OR('2. Мои данные'!B32="",'2. Мои данные'!C32=""),"",'2. Мои данные'!B32-'2. Мои данные'!C32)</f>
      </c>
      <c r="F81" s="8">
        <f>IF(OR('2. Мои данные'!B32="",'2. Мои данные'!C32=""),0,'2. Мои данные'!B32-'2. Мои данные'!C32)</f>
      </c>
      <c r="G81" s="8">
        <f>IF('23. Расчёты'!F81=0,"",ABS('23. Расчёты'!F81))</f>
      </c>
      <c r="H81" s="8">
        <f>IF('23. Расчёты'!F81=0,0,COUNTIF('23. Расчёты'!$G$61:$G$180,"&lt;"&amp;ABS('23. Расчёты'!F81))+(COUNTIF('23. Расчёты'!$G$61:$G$180,ABS('23. Расчёты'!F81))+1)/2)</f>
      </c>
    </row>
    <row r="82">
      <c r="A82" s="8">
        <f>IF('2. Мои данные'!B33="",0,COUNTIF(Выборка1,"&lt;"&amp;'2. Мои данные'!B33)+COUNTIF(Выборка2,"&lt;"&amp;'2. Мои данные'!B33)+(COUNTIF(Выборка1,'2. Мои данные'!B33)+COUNTIF(Выборка2,'2. Мои данные'!B33)+1)/2)</f>
      </c>
      <c r="B82" s="8">
        <f>IF('2. Мои данные'!C33="",0,COUNTIF(Выборка1,"&lt;"&amp;'2. Мои данные'!C33)+COUNTIF(Выборка2,"&lt;"&amp;'2. Мои данные'!C33)+(COUNTIF(Выборка1,'2. Мои данные'!C33)+COUNTIF(Выборка2,'2. Мои данные'!C33)+1)/2)</f>
      </c>
      <c r="C82" s="8">
        <f>IF('2. Мои данные'!B33="","",COUNTIF(Выборка1,"&lt;"&amp;'2. Мои данные'!B33)+(COUNTIF(Выборка1,'2. Мои данные'!B33)+1)/2)</f>
      </c>
      <c r="D82" s="8">
        <f>IF('2. Мои данные'!C33="","",COUNTIF(Выборка2,"&lt;"&amp;'2. Мои данные'!C33)+(COUNTIF(Выборка2,'2. Мои данные'!C33)+1)/2)</f>
      </c>
      <c r="E82" s="8">
        <f>IF(OR('2. Мои данные'!B33="",'2. Мои данные'!C33=""),"",'2. Мои данные'!B33-'2. Мои данные'!C33)</f>
      </c>
      <c r="F82" s="8">
        <f>IF(OR('2. Мои данные'!B33="",'2. Мои данные'!C33=""),0,'2. Мои данные'!B33-'2. Мои данные'!C33)</f>
      </c>
      <c r="G82" s="8">
        <f>IF('23. Расчёты'!F82=0,"",ABS('23. Расчёты'!F82))</f>
      </c>
      <c r="H82" s="8">
        <f>IF('23. Расчёты'!F82=0,0,COUNTIF('23. Расчёты'!$G$61:$G$180,"&lt;"&amp;ABS('23. Расчёты'!F82))+(COUNTIF('23. Расчёты'!$G$61:$G$180,ABS('23. Расчёты'!F82))+1)/2)</f>
      </c>
    </row>
    <row r="83">
      <c r="A83" s="8">
        <f>IF('2. Мои данные'!B34="",0,COUNTIF(Выборка1,"&lt;"&amp;'2. Мои данные'!B34)+COUNTIF(Выборка2,"&lt;"&amp;'2. Мои данные'!B34)+(COUNTIF(Выборка1,'2. Мои данные'!B34)+COUNTIF(Выборка2,'2. Мои данные'!B34)+1)/2)</f>
      </c>
      <c r="B83" s="8">
        <f>IF('2. Мои данные'!C34="",0,COUNTIF(Выборка1,"&lt;"&amp;'2. Мои данные'!C34)+COUNTIF(Выборка2,"&lt;"&amp;'2. Мои данные'!C34)+(COUNTIF(Выборка1,'2. Мои данные'!C34)+COUNTIF(Выборка2,'2. Мои данные'!C34)+1)/2)</f>
      </c>
      <c r="C83" s="8">
        <f>IF('2. Мои данные'!B34="","",COUNTIF(Выборка1,"&lt;"&amp;'2. Мои данные'!B34)+(COUNTIF(Выборка1,'2. Мои данные'!B34)+1)/2)</f>
      </c>
      <c r="D83" s="8">
        <f>IF('2. Мои данные'!C34="","",COUNTIF(Выборка2,"&lt;"&amp;'2. Мои данные'!C34)+(COUNTIF(Выборка2,'2. Мои данные'!C34)+1)/2)</f>
      </c>
      <c r="E83" s="8">
        <f>IF(OR('2. Мои данные'!B34="",'2. Мои данные'!C34=""),"",'2. Мои данные'!B34-'2. Мои данные'!C34)</f>
      </c>
      <c r="F83" s="8">
        <f>IF(OR('2. Мои данные'!B34="",'2. Мои данные'!C34=""),0,'2. Мои данные'!B34-'2. Мои данные'!C34)</f>
      </c>
      <c r="G83" s="8">
        <f>IF('23. Расчёты'!F83=0,"",ABS('23. Расчёты'!F83))</f>
      </c>
      <c r="H83" s="8">
        <f>IF('23. Расчёты'!F83=0,0,COUNTIF('23. Расчёты'!$G$61:$G$180,"&lt;"&amp;ABS('23. Расчёты'!F83))+(COUNTIF('23. Расчёты'!$G$61:$G$180,ABS('23. Расчёты'!F83))+1)/2)</f>
      </c>
    </row>
    <row r="84">
      <c r="A84" s="8">
        <f>IF('2. Мои данные'!B35="",0,COUNTIF(Выборка1,"&lt;"&amp;'2. Мои данные'!B35)+COUNTIF(Выборка2,"&lt;"&amp;'2. Мои данные'!B35)+(COUNTIF(Выборка1,'2. Мои данные'!B35)+COUNTIF(Выборка2,'2. Мои данные'!B35)+1)/2)</f>
      </c>
      <c r="B84" s="8">
        <f>IF('2. Мои данные'!C35="",0,COUNTIF(Выборка1,"&lt;"&amp;'2. Мои данные'!C35)+COUNTIF(Выборка2,"&lt;"&amp;'2. Мои данные'!C35)+(COUNTIF(Выборка1,'2. Мои данные'!C35)+COUNTIF(Выборка2,'2. Мои данные'!C35)+1)/2)</f>
      </c>
      <c r="C84" s="8">
        <f>IF('2. Мои данные'!B35="","",COUNTIF(Выборка1,"&lt;"&amp;'2. Мои данные'!B35)+(COUNTIF(Выборка1,'2. Мои данные'!B35)+1)/2)</f>
      </c>
      <c r="D84" s="8">
        <f>IF('2. Мои данные'!C35="","",COUNTIF(Выборка2,"&lt;"&amp;'2. Мои данные'!C35)+(COUNTIF(Выборка2,'2. Мои данные'!C35)+1)/2)</f>
      </c>
      <c r="E84" s="8">
        <f>IF(OR('2. Мои данные'!B35="",'2. Мои данные'!C35=""),"",'2. Мои данные'!B35-'2. Мои данные'!C35)</f>
      </c>
      <c r="F84" s="8">
        <f>IF(OR('2. Мои данные'!B35="",'2. Мои данные'!C35=""),0,'2. Мои данные'!B35-'2. Мои данные'!C35)</f>
      </c>
      <c r="G84" s="8">
        <f>IF('23. Расчёты'!F84=0,"",ABS('23. Расчёты'!F84))</f>
      </c>
      <c r="H84" s="8">
        <f>IF('23. Расчёты'!F84=0,0,COUNTIF('23. Расчёты'!$G$61:$G$180,"&lt;"&amp;ABS('23. Расчёты'!F84))+(COUNTIF('23. Расчёты'!$G$61:$G$180,ABS('23. Расчёты'!F84))+1)/2)</f>
      </c>
    </row>
    <row r="85">
      <c r="A85" s="8">
        <f>IF('2. Мои данные'!B36="",0,COUNTIF(Выборка1,"&lt;"&amp;'2. Мои данные'!B36)+COUNTIF(Выборка2,"&lt;"&amp;'2. Мои данные'!B36)+(COUNTIF(Выборка1,'2. Мои данные'!B36)+COUNTIF(Выборка2,'2. Мои данные'!B36)+1)/2)</f>
      </c>
      <c r="B85" s="8">
        <f>IF('2. Мои данные'!C36="",0,COUNTIF(Выборка1,"&lt;"&amp;'2. Мои данные'!C36)+COUNTIF(Выборка2,"&lt;"&amp;'2. Мои данные'!C36)+(COUNTIF(Выборка1,'2. Мои данные'!C36)+COUNTIF(Выборка2,'2. Мои данные'!C36)+1)/2)</f>
      </c>
      <c r="C85" s="8">
        <f>IF('2. Мои данные'!B36="","",COUNTIF(Выборка1,"&lt;"&amp;'2. Мои данные'!B36)+(COUNTIF(Выборка1,'2. Мои данные'!B36)+1)/2)</f>
      </c>
      <c r="D85" s="8">
        <f>IF('2. Мои данные'!C36="","",COUNTIF(Выборка2,"&lt;"&amp;'2. Мои данные'!C36)+(COUNTIF(Выборка2,'2. Мои данные'!C36)+1)/2)</f>
      </c>
      <c r="E85" s="8">
        <f>IF(OR('2. Мои данные'!B36="",'2. Мои данные'!C36=""),"",'2. Мои данные'!B36-'2. Мои данные'!C36)</f>
      </c>
      <c r="F85" s="8">
        <f>IF(OR('2. Мои данные'!B36="",'2. Мои данные'!C36=""),0,'2. Мои данные'!B36-'2. Мои данные'!C36)</f>
      </c>
      <c r="G85" s="8">
        <f>IF('23. Расчёты'!F85=0,"",ABS('23. Расчёты'!F85))</f>
      </c>
      <c r="H85" s="8">
        <f>IF('23. Расчёты'!F85=0,0,COUNTIF('23. Расчёты'!$G$61:$G$180,"&lt;"&amp;ABS('23. Расчёты'!F85))+(COUNTIF('23. Расчёты'!$G$61:$G$180,ABS('23. Расчёты'!F85))+1)/2)</f>
      </c>
    </row>
    <row r="86">
      <c r="A86" s="8">
        <f>IF('2. Мои данные'!B37="",0,COUNTIF(Выборка1,"&lt;"&amp;'2. Мои данные'!B37)+COUNTIF(Выборка2,"&lt;"&amp;'2. Мои данные'!B37)+(COUNTIF(Выборка1,'2. Мои данные'!B37)+COUNTIF(Выборка2,'2. Мои данные'!B37)+1)/2)</f>
      </c>
      <c r="B86" s="8">
        <f>IF('2. Мои данные'!C37="",0,COUNTIF(Выборка1,"&lt;"&amp;'2. Мои данные'!C37)+COUNTIF(Выборка2,"&lt;"&amp;'2. Мои данные'!C37)+(COUNTIF(Выборка1,'2. Мои данные'!C37)+COUNTIF(Выборка2,'2. Мои данные'!C37)+1)/2)</f>
      </c>
      <c r="C86" s="8">
        <f>IF('2. Мои данные'!B37="","",COUNTIF(Выборка1,"&lt;"&amp;'2. Мои данные'!B37)+(COUNTIF(Выборка1,'2. Мои данные'!B37)+1)/2)</f>
      </c>
      <c r="D86" s="8">
        <f>IF('2. Мои данные'!C37="","",COUNTIF(Выборка2,"&lt;"&amp;'2. Мои данные'!C37)+(COUNTIF(Выборка2,'2. Мои данные'!C37)+1)/2)</f>
      </c>
      <c r="E86" s="8">
        <f>IF(OR('2. Мои данные'!B37="",'2. Мои данные'!C37=""),"",'2. Мои данные'!B37-'2. Мои данные'!C37)</f>
      </c>
      <c r="F86" s="8">
        <f>IF(OR('2. Мои данные'!B37="",'2. Мои данные'!C37=""),0,'2. Мои данные'!B37-'2. Мои данные'!C37)</f>
      </c>
      <c r="G86" s="8">
        <f>IF('23. Расчёты'!F86=0,"",ABS('23. Расчёты'!F86))</f>
      </c>
      <c r="H86" s="8">
        <f>IF('23. Расчёты'!F86=0,0,COUNTIF('23. Расчёты'!$G$61:$G$180,"&lt;"&amp;ABS('23. Расчёты'!F86))+(COUNTIF('23. Расчёты'!$G$61:$G$180,ABS('23. Расчёты'!F86))+1)/2)</f>
      </c>
    </row>
    <row r="87">
      <c r="A87" s="8">
        <f>IF('2. Мои данные'!B38="",0,COUNTIF(Выборка1,"&lt;"&amp;'2. Мои данные'!B38)+COUNTIF(Выборка2,"&lt;"&amp;'2. Мои данные'!B38)+(COUNTIF(Выборка1,'2. Мои данные'!B38)+COUNTIF(Выборка2,'2. Мои данные'!B38)+1)/2)</f>
      </c>
      <c r="B87" s="8">
        <f>IF('2. Мои данные'!C38="",0,COUNTIF(Выборка1,"&lt;"&amp;'2. Мои данные'!C38)+COUNTIF(Выборка2,"&lt;"&amp;'2. Мои данные'!C38)+(COUNTIF(Выборка1,'2. Мои данные'!C38)+COUNTIF(Выборка2,'2. Мои данные'!C38)+1)/2)</f>
      </c>
      <c r="C87" s="8">
        <f>IF('2. Мои данные'!B38="","",COUNTIF(Выборка1,"&lt;"&amp;'2. Мои данные'!B38)+(COUNTIF(Выборка1,'2. Мои данные'!B38)+1)/2)</f>
      </c>
      <c r="D87" s="8">
        <f>IF('2. Мои данные'!C38="","",COUNTIF(Выборка2,"&lt;"&amp;'2. Мои данные'!C38)+(COUNTIF(Выборка2,'2. Мои данные'!C38)+1)/2)</f>
      </c>
      <c r="E87" s="8">
        <f>IF(OR('2. Мои данные'!B38="",'2. Мои данные'!C38=""),"",'2. Мои данные'!B38-'2. Мои данные'!C38)</f>
      </c>
      <c r="F87" s="8">
        <f>IF(OR('2. Мои данные'!B38="",'2. Мои данные'!C38=""),0,'2. Мои данные'!B38-'2. Мои данные'!C38)</f>
      </c>
      <c r="G87" s="8">
        <f>IF('23. Расчёты'!F87=0,"",ABS('23. Расчёты'!F87))</f>
      </c>
      <c r="H87" s="8">
        <f>IF('23. Расчёты'!F87=0,0,COUNTIF('23. Расчёты'!$G$61:$G$180,"&lt;"&amp;ABS('23. Расчёты'!F87))+(COUNTIF('23. Расчёты'!$G$61:$G$180,ABS('23. Расчёты'!F87))+1)/2)</f>
      </c>
    </row>
    <row r="88">
      <c r="A88" s="8">
        <f>IF('2. Мои данные'!B39="",0,COUNTIF(Выборка1,"&lt;"&amp;'2. Мои данные'!B39)+COUNTIF(Выборка2,"&lt;"&amp;'2. Мои данные'!B39)+(COUNTIF(Выборка1,'2. Мои данные'!B39)+COUNTIF(Выборка2,'2. Мои данные'!B39)+1)/2)</f>
      </c>
      <c r="B88" s="8">
        <f>IF('2. Мои данные'!C39="",0,COUNTIF(Выборка1,"&lt;"&amp;'2. Мои данные'!C39)+COUNTIF(Выборка2,"&lt;"&amp;'2. Мои данные'!C39)+(COUNTIF(Выборка1,'2. Мои данные'!C39)+COUNTIF(Выборка2,'2. Мои данные'!C39)+1)/2)</f>
      </c>
      <c r="C88" s="8">
        <f>IF('2. Мои данные'!B39="","",COUNTIF(Выборка1,"&lt;"&amp;'2. Мои данные'!B39)+(COUNTIF(Выборка1,'2. Мои данные'!B39)+1)/2)</f>
      </c>
      <c r="D88" s="8">
        <f>IF('2. Мои данные'!C39="","",COUNTIF(Выборка2,"&lt;"&amp;'2. Мои данные'!C39)+(COUNTIF(Выборка2,'2. Мои данные'!C39)+1)/2)</f>
      </c>
      <c r="E88" s="8">
        <f>IF(OR('2. Мои данные'!B39="",'2. Мои данные'!C39=""),"",'2. Мои данные'!B39-'2. Мои данные'!C39)</f>
      </c>
      <c r="F88" s="8">
        <f>IF(OR('2. Мои данные'!B39="",'2. Мои данные'!C39=""),0,'2. Мои данные'!B39-'2. Мои данные'!C39)</f>
      </c>
      <c r="G88" s="8">
        <f>IF('23. Расчёты'!F88=0,"",ABS('23. Расчёты'!F88))</f>
      </c>
      <c r="H88" s="8">
        <f>IF('23. Расчёты'!F88=0,0,COUNTIF('23. Расчёты'!$G$61:$G$180,"&lt;"&amp;ABS('23. Расчёты'!F88))+(COUNTIF('23. Расчёты'!$G$61:$G$180,ABS('23. Расчёты'!F88))+1)/2)</f>
      </c>
    </row>
    <row r="89">
      <c r="A89" s="8">
        <f>IF('2. Мои данные'!B40="",0,COUNTIF(Выборка1,"&lt;"&amp;'2. Мои данные'!B40)+COUNTIF(Выборка2,"&lt;"&amp;'2. Мои данные'!B40)+(COUNTIF(Выборка1,'2. Мои данные'!B40)+COUNTIF(Выборка2,'2. Мои данные'!B40)+1)/2)</f>
      </c>
      <c r="B89" s="8">
        <f>IF('2. Мои данные'!C40="",0,COUNTIF(Выборка1,"&lt;"&amp;'2. Мои данные'!C40)+COUNTIF(Выборка2,"&lt;"&amp;'2. Мои данные'!C40)+(COUNTIF(Выборка1,'2. Мои данные'!C40)+COUNTIF(Выборка2,'2. Мои данные'!C40)+1)/2)</f>
      </c>
      <c r="C89" s="8">
        <f>IF('2. Мои данные'!B40="","",COUNTIF(Выборка1,"&lt;"&amp;'2. Мои данные'!B40)+(COUNTIF(Выборка1,'2. Мои данные'!B40)+1)/2)</f>
      </c>
      <c r="D89" s="8">
        <f>IF('2. Мои данные'!C40="","",COUNTIF(Выборка2,"&lt;"&amp;'2. Мои данные'!C40)+(COUNTIF(Выборка2,'2. Мои данные'!C40)+1)/2)</f>
      </c>
      <c r="E89" s="8">
        <f>IF(OR('2. Мои данные'!B40="",'2. Мои данные'!C40=""),"",'2. Мои данные'!B40-'2. Мои данные'!C40)</f>
      </c>
      <c r="F89" s="8">
        <f>IF(OR('2. Мои данные'!B40="",'2. Мои данные'!C40=""),0,'2. Мои данные'!B40-'2. Мои данные'!C40)</f>
      </c>
      <c r="G89" s="8">
        <f>IF('23. Расчёты'!F89=0,"",ABS('23. Расчёты'!F89))</f>
      </c>
      <c r="H89" s="8">
        <f>IF('23. Расчёты'!F89=0,0,COUNTIF('23. Расчёты'!$G$61:$G$180,"&lt;"&amp;ABS('23. Расчёты'!F89))+(COUNTIF('23. Расчёты'!$G$61:$G$180,ABS('23. Расчёты'!F89))+1)/2)</f>
      </c>
    </row>
    <row r="90">
      <c r="A90" s="8">
        <f>IF('2. Мои данные'!B41="",0,COUNTIF(Выборка1,"&lt;"&amp;'2. Мои данные'!B41)+COUNTIF(Выборка2,"&lt;"&amp;'2. Мои данные'!B41)+(COUNTIF(Выборка1,'2. Мои данные'!B41)+COUNTIF(Выборка2,'2. Мои данные'!B41)+1)/2)</f>
      </c>
      <c r="B90" s="8">
        <f>IF('2. Мои данные'!C41="",0,COUNTIF(Выборка1,"&lt;"&amp;'2. Мои данные'!C41)+COUNTIF(Выборка2,"&lt;"&amp;'2. Мои данные'!C41)+(COUNTIF(Выборка1,'2. Мои данные'!C41)+COUNTIF(Выборка2,'2. Мои данные'!C41)+1)/2)</f>
      </c>
      <c r="C90" s="8">
        <f>IF('2. Мои данные'!B41="","",COUNTIF(Выборка1,"&lt;"&amp;'2. Мои данные'!B41)+(COUNTIF(Выборка1,'2. Мои данные'!B41)+1)/2)</f>
      </c>
      <c r="D90" s="8">
        <f>IF('2. Мои данные'!C41="","",COUNTIF(Выборка2,"&lt;"&amp;'2. Мои данные'!C41)+(COUNTIF(Выборка2,'2. Мои данные'!C41)+1)/2)</f>
      </c>
      <c r="E90" s="8">
        <f>IF(OR('2. Мои данные'!B41="",'2. Мои данные'!C41=""),"",'2. Мои данные'!B41-'2. Мои данные'!C41)</f>
      </c>
      <c r="F90" s="8">
        <f>IF(OR('2. Мои данные'!B41="",'2. Мои данные'!C41=""),0,'2. Мои данные'!B41-'2. Мои данные'!C41)</f>
      </c>
      <c r="G90" s="8">
        <f>IF('23. Расчёты'!F90=0,"",ABS('23. Расчёты'!F90))</f>
      </c>
      <c r="H90" s="8">
        <f>IF('23. Расчёты'!F90=0,0,COUNTIF('23. Расчёты'!$G$61:$G$180,"&lt;"&amp;ABS('23. Расчёты'!F90))+(COUNTIF('23. Расчёты'!$G$61:$G$180,ABS('23. Расчёты'!F90))+1)/2)</f>
      </c>
    </row>
    <row r="91">
      <c r="A91" s="8">
        <f>IF('2. Мои данные'!B42="",0,COUNTIF(Выборка1,"&lt;"&amp;'2. Мои данные'!B42)+COUNTIF(Выборка2,"&lt;"&amp;'2. Мои данные'!B42)+(COUNTIF(Выборка1,'2. Мои данные'!B42)+COUNTIF(Выборка2,'2. Мои данные'!B42)+1)/2)</f>
      </c>
      <c r="B91" s="8">
        <f>IF('2. Мои данные'!C42="",0,COUNTIF(Выборка1,"&lt;"&amp;'2. Мои данные'!C42)+COUNTIF(Выборка2,"&lt;"&amp;'2. Мои данные'!C42)+(COUNTIF(Выборка1,'2. Мои данные'!C42)+COUNTIF(Выборка2,'2. Мои данные'!C42)+1)/2)</f>
      </c>
      <c r="C91" s="8">
        <f>IF('2. Мои данные'!B42="","",COUNTIF(Выборка1,"&lt;"&amp;'2. Мои данные'!B42)+(COUNTIF(Выборка1,'2. Мои данные'!B42)+1)/2)</f>
      </c>
      <c r="D91" s="8">
        <f>IF('2. Мои данные'!C42="","",COUNTIF(Выборка2,"&lt;"&amp;'2. Мои данные'!C42)+(COUNTIF(Выборка2,'2. Мои данные'!C42)+1)/2)</f>
      </c>
      <c r="E91" s="8">
        <f>IF(OR('2. Мои данные'!B42="",'2. Мои данные'!C42=""),"",'2. Мои данные'!B42-'2. Мои данные'!C42)</f>
      </c>
      <c r="F91" s="8">
        <f>IF(OR('2. Мои данные'!B42="",'2. Мои данные'!C42=""),0,'2. Мои данные'!B42-'2. Мои данные'!C42)</f>
      </c>
      <c r="G91" s="8">
        <f>IF('23. Расчёты'!F91=0,"",ABS('23. Расчёты'!F91))</f>
      </c>
      <c r="H91" s="8">
        <f>IF('23. Расчёты'!F91=0,0,COUNTIF('23. Расчёты'!$G$61:$G$180,"&lt;"&amp;ABS('23. Расчёты'!F91))+(COUNTIF('23. Расчёты'!$G$61:$G$180,ABS('23. Расчёты'!F91))+1)/2)</f>
      </c>
    </row>
    <row r="92">
      <c r="A92" s="8">
        <f>IF('2. Мои данные'!B43="",0,COUNTIF(Выборка1,"&lt;"&amp;'2. Мои данные'!B43)+COUNTIF(Выборка2,"&lt;"&amp;'2. Мои данные'!B43)+(COUNTIF(Выборка1,'2. Мои данные'!B43)+COUNTIF(Выборка2,'2. Мои данные'!B43)+1)/2)</f>
      </c>
      <c r="B92" s="8">
        <f>IF('2. Мои данные'!C43="",0,COUNTIF(Выборка1,"&lt;"&amp;'2. Мои данные'!C43)+COUNTIF(Выборка2,"&lt;"&amp;'2. Мои данные'!C43)+(COUNTIF(Выборка1,'2. Мои данные'!C43)+COUNTIF(Выборка2,'2. Мои данные'!C43)+1)/2)</f>
      </c>
      <c r="C92" s="8">
        <f>IF('2. Мои данные'!B43="","",COUNTIF(Выборка1,"&lt;"&amp;'2. Мои данные'!B43)+(COUNTIF(Выборка1,'2. Мои данные'!B43)+1)/2)</f>
      </c>
      <c r="D92" s="8">
        <f>IF('2. Мои данные'!C43="","",COUNTIF(Выборка2,"&lt;"&amp;'2. Мои данные'!C43)+(COUNTIF(Выборка2,'2. Мои данные'!C43)+1)/2)</f>
      </c>
      <c r="E92" s="8">
        <f>IF(OR('2. Мои данные'!B43="",'2. Мои данные'!C43=""),"",'2. Мои данные'!B43-'2. Мои данные'!C43)</f>
      </c>
      <c r="F92" s="8">
        <f>IF(OR('2. Мои данные'!B43="",'2. Мои данные'!C43=""),0,'2. Мои данные'!B43-'2. Мои данные'!C43)</f>
      </c>
      <c r="G92" s="8">
        <f>IF('23. Расчёты'!F92=0,"",ABS('23. Расчёты'!F92))</f>
      </c>
      <c r="H92" s="8">
        <f>IF('23. Расчёты'!F92=0,0,COUNTIF('23. Расчёты'!$G$61:$G$180,"&lt;"&amp;ABS('23. Расчёты'!F92))+(COUNTIF('23. Расчёты'!$G$61:$G$180,ABS('23. Расчёты'!F92))+1)/2)</f>
      </c>
    </row>
    <row r="93">
      <c r="A93" s="8">
        <f>IF('2. Мои данные'!B44="",0,COUNTIF(Выборка1,"&lt;"&amp;'2. Мои данные'!B44)+COUNTIF(Выборка2,"&lt;"&amp;'2. Мои данные'!B44)+(COUNTIF(Выборка1,'2. Мои данные'!B44)+COUNTIF(Выборка2,'2. Мои данные'!B44)+1)/2)</f>
      </c>
      <c r="B93" s="8">
        <f>IF('2. Мои данные'!C44="",0,COUNTIF(Выборка1,"&lt;"&amp;'2. Мои данные'!C44)+COUNTIF(Выборка2,"&lt;"&amp;'2. Мои данные'!C44)+(COUNTIF(Выборка1,'2. Мои данные'!C44)+COUNTIF(Выборка2,'2. Мои данные'!C44)+1)/2)</f>
      </c>
      <c r="C93" s="8">
        <f>IF('2. Мои данные'!B44="","",COUNTIF(Выборка1,"&lt;"&amp;'2. Мои данные'!B44)+(COUNTIF(Выборка1,'2. Мои данные'!B44)+1)/2)</f>
      </c>
      <c r="D93" s="8">
        <f>IF('2. Мои данные'!C44="","",COUNTIF(Выборка2,"&lt;"&amp;'2. Мои данные'!C44)+(COUNTIF(Выборка2,'2. Мои данные'!C44)+1)/2)</f>
      </c>
      <c r="E93" s="8">
        <f>IF(OR('2. Мои данные'!B44="",'2. Мои данные'!C44=""),"",'2. Мои данные'!B44-'2. Мои данные'!C44)</f>
      </c>
      <c r="F93" s="8">
        <f>IF(OR('2. Мои данные'!B44="",'2. Мои данные'!C44=""),0,'2. Мои данные'!B44-'2. Мои данные'!C44)</f>
      </c>
      <c r="G93" s="8">
        <f>IF('23. Расчёты'!F93=0,"",ABS('23. Расчёты'!F93))</f>
      </c>
      <c r="H93" s="8">
        <f>IF('23. Расчёты'!F93=0,0,COUNTIF('23. Расчёты'!$G$61:$G$180,"&lt;"&amp;ABS('23. Расчёты'!F93))+(COUNTIF('23. Расчёты'!$G$61:$G$180,ABS('23. Расчёты'!F93))+1)/2)</f>
      </c>
    </row>
    <row r="94">
      <c r="A94" s="8">
        <f>IF('2. Мои данные'!B45="",0,COUNTIF(Выборка1,"&lt;"&amp;'2. Мои данные'!B45)+COUNTIF(Выборка2,"&lt;"&amp;'2. Мои данные'!B45)+(COUNTIF(Выборка1,'2. Мои данные'!B45)+COUNTIF(Выборка2,'2. Мои данные'!B45)+1)/2)</f>
      </c>
      <c r="B94" s="8">
        <f>IF('2. Мои данные'!C45="",0,COUNTIF(Выборка1,"&lt;"&amp;'2. Мои данные'!C45)+COUNTIF(Выборка2,"&lt;"&amp;'2. Мои данные'!C45)+(COUNTIF(Выборка1,'2. Мои данные'!C45)+COUNTIF(Выборка2,'2. Мои данные'!C45)+1)/2)</f>
      </c>
      <c r="C94" s="8">
        <f>IF('2. Мои данные'!B45="","",COUNTIF(Выборка1,"&lt;"&amp;'2. Мои данные'!B45)+(COUNTIF(Выборка1,'2. Мои данные'!B45)+1)/2)</f>
      </c>
      <c r="D94" s="8">
        <f>IF('2. Мои данные'!C45="","",COUNTIF(Выборка2,"&lt;"&amp;'2. Мои данные'!C45)+(COUNTIF(Выборка2,'2. Мои данные'!C45)+1)/2)</f>
      </c>
      <c r="E94" s="8">
        <f>IF(OR('2. Мои данные'!B45="",'2. Мои данные'!C45=""),"",'2. Мои данные'!B45-'2. Мои данные'!C45)</f>
      </c>
      <c r="F94" s="8">
        <f>IF(OR('2. Мои данные'!B45="",'2. Мои данные'!C45=""),0,'2. Мои данные'!B45-'2. Мои данные'!C45)</f>
      </c>
      <c r="G94" s="8">
        <f>IF('23. Расчёты'!F94=0,"",ABS('23. Расчёты'!F94))</f>
      </c>
      <c r="H94" s="8">
        <f>IF('23. Расчёты'!F94=0,0,COUNTIF('23. Расчёты'!$G$61:$G$180,"&lt;"&amp;ABS('23. Расчёты'!F94))+(COUNTIF('23. Расчёты'!$G$61:$G$180,ABS('23. Расчёты'!F94))+1)/2)</f>
      </c>
    </row>
    <row r="95">
      <c r="A95" s="8">
        <f>IF('2. Мои данные'!B46="",0,COUNTIF(Выборка1,"&lt;"&amp;'2. Мои данные'!B46)+COUNTIF(Выборка2,"&lt;"&amp;'2. Мои данные'!B46)+(COUNTIF(Выборка1,'2. Мои данные'!B46)+COUNTIF(Выборка2,'2. Мои данные'!B46)+1)/2)</f>
      </c>
      <c r="B95" s="8">
        <f>IF('2. Мои данные'!C46="",0,COUNTIF(Выборка1,"&lt;"&amp;'2. Мои данные'!C46)+COUNTIF(Выборка2,"&lt;"&amp;'2. Мои данные'!C46)+(COUNTIF(Выборка1,'2. Мои данные'!C46)+COUNTIF(Выборка2,'2. Мои данные'!C46)+1)/2)</f>
      </c>
      <c r="C95" s="8">
        <f>IF('2. Мои данные'!B46="","",COUNTIF(Выборка1,"&lt;"&amp;'2. Мои данные'!B46)+(COUNTIF(Выборка1,'2. Мои данные'!B46)+1)/2)</f>
      </c>
      <c r="D95" s="8">
        <f>IF('2. Мои данные'!C46="","",COUNTIF(Выборка2,"&lt;"&amp;'2. Мои данные'!C46)+(COUNTIF(Выборка2,'2. Мои данные'!C46)+1)/2)</f>
      </c>
      <c r="E95" s="8">
        <f>IF(OR('2. Мои данные'!B46="",'2. Мои данные'!C46=""),"",'2. Мои данные'!B46-'2. Мои данные'!C46)</f>
      </c>
      <c r="F95" s="8">
        <f>IF(OR('2. Мои данные'!B46="",'2. Мои данные'!C46=""),0,'2. Мои данные'!B46-'2. Мои данные'!C46)</f>
      </c>
      <c r="G95" s="8">
        <f>IF('23. Расчёты'!F95=0,"",ABS('23. Расчёты'!F95))</f>
      </c>
      <c r="H95" s="8">
        <f>IF('23. Расчёты'!F95=0,0,COUNTIF('23. Расчёты'!$G$61:$G$180,"&lt;"&amp;ABS('23. Расчёты'!F95))+(COUNTIF('23. Расчёты'!$G$61:$G$180,ABS('23. Расчёты'!F95))+1)/2)</f>
      </c>
    </row>
    <row r="96">
      <c r="A96" s="8">
        <f>IF('2. Мои данные'!B47="",0,COUNTIF(Выборка1,"&lt;"&amp;'2. Мои данные'!B47)+COUNTIF(Выборка2,"&lt;"&amp;'2. Мои данные'!B47)+(COUNTIF(Выборка1,'2. Мои данные'!B47)+COUNTIF(Выборка2,'2. Мои данные'!B47)+1)/2)</f>
      </c>
      <c r="B96" s="8">
        <f>IF('2. Мои данные'!C47="",0,COUNTIF(Выборка1,"&lt;"&amp;'2. Мои данные'!C47)+COUNTIF(Выборка2,"&lt;"&amp;'2. Мои данные'!C47)+(COUNTIF(Выборка1,'2. Мои данные'!C47)+COUNTIF(Выборка2,'2. Мои данные'!C47)+1)/2)</f>
      </c>
      <c r="C96" s="8">
        <f>IF('2. Мои данные'!B47="","",COUNTIF(Выборка1,"&lt;"&amp;'2. Мои данные'!B47)+(COUNTIF(Выборка1,'2. Мои данные'!B47)+1)/2)</f>
      </c>
      <c r="D96" s="8">
        <f>IF('2. Мои данные'!C47="","",COUNTIF(Выборка2,"&lt;"&amp;'2. Мои данные'!C47)+(COUNTIF(Выборка2,'2. Мои данные'!C47)+1)/2)</f>
      </c>
      <c r="E96" s="8">
        <f>IF(OR('2. Мои данные'!B47="",'2. Мои данные'!C47=""),"",'2. Мои данные'!B47-'2. Мои данные'!C47)</f>
      </c>
      <c r="F96" s="8">
        <f>IF(OR('2. Мои данные'!B47="",'2. Мои данные'!C47=""),0,'2. Мои данные'!B47-'2. Мои данные'!C47)</f>
      </c>
      <c r="G96" s="8">
        <f>IF('23. Расчёты'!F96=0,"",ABS('23. Расчёты'!F96))</f>
      </c>
      <c r="H96" s="8">
        <f>IF('23. Расчёты'!F96=0,0,COUNTIF('23. Расчёты'!$G$61:$G$180,"&lt;"&amp;ABS('23. Расчёты'!F96))+(COUNTIF('23. Расчёты'!$G$61:$G$180,ABS('23. Расчёты'!F96))+1)/2)</f>
      </c>
    </row>
    <row r="97">
      <c r="A97" s="8">
        <f>IF('2. Мои данные'!B48="",0,COUNTIF(Выборка1,"&lt;"&amp;'2. Мои данные'!B48)+COUNTIF(Выборка2,"&lt;"&amp;'2. Мои данные'!B48)+(COUNTIF(Выборка1,'2. Мои данные'!B48)+COUNTIF(Выборка2,'2. Мои данные'!B48)+1)/2)</f>
      </c>
      <c r="B97" s="8">
        <f>IF('2. Мои данные'!C48="",0,COUNTIF(Выборка1,"&lt;"&amp;'2. Мои данные'!C48)+COUNTIF(Выборка2,"&lt;"&amp;'2. Мои данные'!C48)+(COUNTIF(Выборка1,'2. Мои данные'!C48)+COUNTIF(Выборка2,'2. Мои данные'!C48)+1)/2)</f>
      </c>
      <c r="C97" s="8">
        <f>IF('2. Мои данные'!B48="","",COUNTIF(Выборка1,"&lt;"&amp;'2. Мои данные'!B48)+(COUNTIF(Выборка1,'2. Мои данные'!B48)+1)/2)</f>
      </c>
      <c r="D97" s="8">
        <f>IF('2. Мои данные'!C48="","",COUNTIF(Выборка2,"&lt;"&amp;'2. Мои данные'!C48)+(COUNTIF(Выборка2,'2. Мои данные'!C48)+1)/2)</f>
      </c>
      <c r="E97" s="8">
        <f>IF(OR('2. Мои данные'!B48="",'2. Мои данные'!C48=""),"",'2. Мои данные'!B48-'2. Мои данные'!C48)</f>
      </c>
      <c r="F97" s="8">
        <f>IF(OR('2. Мои данные'!B48="",'2. Мои данные'!C48=""),0,'2. Мои данные'!B48-'2. Мои данные'!C48)</f>
      </c>
      <c r="G97" s="8">
        <f>IF('23. Расчёты'!F97=0,"",ABS('23. Расчёты'!F97))</f>
      </c>
      <c r="H97" s="8">
        <f>IF('23. Расчёты'!F97=0,0,COUNTIF('23. Расчёты'!$G$61:$G$180,"&lt;"&amp;ABS('23. Расчёты'!F97))+(COUNTIF('23. Расчёты'!$G$61:$G$180,ABS('23. Расчёты'!F97))+1)/2)</f>
      </c>
    </row>
    <row r="98">
      <c r="A98" s="8">
        <f>IF('2. Мои данные'!B49="",0,COUNTIF(Выборка1,"&lt;"&amp;'2. Мои данные'!B49)+COUNTIF(Выборка2,"&lt;"&amp;'2. Мои данные'!B49)+(COUNTIF(Выборка1,'2. Мои данные'!B49)+COUNTIF(Выборка2,'2. Мои данные'!B49)+1)/2)</f>
      </c>
      <c r="B98" s="8">
        <f>IF('2. Мои данные'!C49="",0,COUNTIF(Выборка1,"&lt;"&amp;'2. Мои данные'!C49)+COUNTIF(Выборка2,"&lt;"&amp;'2. Мои данные'!C49)+(COUNTIF(Выборка1,'2. Мои данные'!C49)+COUNTIF(Выборка2,'2. Мои данные'!C49)+1)/2)</f>
      </c>
      <c r="C98" s="8">
        <f>IF('2. Мои данные'!B49="","",COUNTIF(Выборка1,"&lt;"&amp;'2. Мои данные'!B49)+(COUNTIF(Выборка1,'2. Мои данные'!B49)+1)/2)</f>
      </c>
      <c r="D98" s="8">
        <f>IF('2. Мои данные'!C49="","",COUNTIF(Выборка2,"&lt;"&amp;'2. Мои данные'!C49)+(COUNTIF(Выборка2,'2. Мои данные'!C49)+1)/2)</f>
      </c>
      <c r="E98" s="8">
        <f>IF(OR('2. Мои данные'!B49="",'2. Мои данные'!C49=""),"",'2. Мои данные'!B49-'2. Мои данные'!C49)</f>
      </c>
      <c r="F98" s="8">
        <f>IF(OR('2. Мои данные'!B49="",'2. Мои данные'!C49=""),0,'2. Мои данные'!B49-'2. Мои данные'!C49)</f>
      </c>
      <c r="G98" s="8">
        <f>IF('23. Расчёты'!F98=0,"",ABS('23. Расчёты'!F98))</f>
      </c>
      <c r="H98" s="8">
        <f>IF('23. Расчёты'!F98=0,0,COUNTIF('23. Расчёты'!$G$61:$G$180,"&lt;"&amp;ABS('23. Расчёты'!F98))+(COUNTIF('23. Расчёты'!$G$61:$G$180,ABS('23. Расчёты'!F98))+1)/2)</f>
      </c>
    </row>
    <row r="99">
      <c r="A99" s="8">
        <f>IF('2. Мои данные'!B50="",0,COUNTIF(Выборка1,"&lt;"&amp;'2. Мои данные'!B50)+COUNTIF(Выборка2,"&lt;"&amp;'2. Мои данные'!B50)+(COUNTIF(Выборка1,'2. Мои данные'!B50)+COUNTIF(Выборка2,'2. Мои данные'!B50)+1)/2)</f>
      </c>
      <c r="B99" s="8">
        <f>IF('2. Мои данные'!C50="",0,COUNTIF(Выборка1,"&lt;"&amp;'2. Мои данные'!C50)+COUNTIF(Выборка2,"&lt;"&amp;'2. Мои данные'!C50)+(COUNTIF(Выборка1,'2. Мои данные'!C50)+COUNTIF(Выборка2,'2. Мои данные'!C50)+1)/2)</f>
      </c>
      <c r="C99" s="8">
        <f>IF('2. Мои данные'!B50="","",COUNTIF(Выборка1,"&lt;"&amp;'2. Мои данные'!B50)+(COUNTIF(Выборка1,'2. Мои данные'!B50)+1)/2)</f>
      </c>
      <c r="D99" s="8">
        <f>IF('2. Мои данные'!C50="","",COUNTIF(Выборка2,"&lt;"&amp;'2. Мои данные'!C50)+(COUNTIF(Выборка2,'2. Мои данные'!C50)+1)/2)</f>
      </c>
      <c r="E99" s="8">
        <f>IF(OR('2. Мои данные'!B50="",'2. Мои данные'!C50=""),"",'2. Мои данные'!B50-'2. Мои данные'!C50)</f>
      </c>
      <c r="F99" s="8">
        <f>IF(OR('2. Мои данные'!B50="",'2. Мои данные'!C50=""),0,'2. Мои данные'!B50-'2. Мои данные'!C50)</f>
      </c>
      <c r="G99" s="8">
        <f>IF('23. Расчёты'!F99=0,"",ABS('23. Расчёты'!F99))</f>
      </c>
      <c r="H99" s="8">
        <f>IF('23. Расчёты'!F99=0,0,COUNTIF('23. Расчёты'!$G$61:$G$180,"&lt;"&amp;ABS('23. Расчёты'!F99))+(COUNTIF('23. Расчёты'!$G$61:$G$180,ABS('23. Расчёты'!F99))+1)/2)</f>
      </c>
    </row>
    <row r="100">
      <c r="A100" s="8">
        <f>IF('2. Мои данные'!B51="",0,COUNTIF(Выборка1,"&lt;"&amp;'2. Мои данные'!B51)+COUNTIF(Выборка2,"&lt;"&amp;'2. Мои данные'!B51)+(COUNTIF(Выборка1,'2. Мои данные'!B51)+COUNTIF(Выборка2,'2. Мои данные'!B51)+1)/2)</f>
      </c>
      <c r="B100" s="8">
        <f>IF('2. Мои данные'!C51="",0,COUNTIF(Выборка1,"&lt;"&amp;'2. Мои данные'!C51)+COUNTIF(Выборка2,"&lt;"&amp;'2. Мои данные'!C51)+(COUNTIF(Выборка1,'2. Мои данные'!C51)+COUNTIF(Выборка2,'2. Мои данные'!C51)+1)/2)</f>
      </c>
      <c r="C100" s="8">
        <f>IF('2. Мои данные'!B51="","",COUNTIF(Выборка1,"&lt;"&amp;'2. Мои данные'!B51)+(COUNTIF(Выборка1,'2. Мои данные'!B51)+1)/2)</f>
      </c>
      <c r="D100" s="8">
        <f>IF('2. Мои данные'!C51="","",COUNTIF(Выборка2,"&lt;"&amp;'2. Мои данные'!C51)+(COUNTIF(Выборка2,'2. Мои данные'!C51)+1)/2)</f>
      </c>
      <c r="E100" s="8">
        <f>IF(OR('2. Мои данные'!B51="",'2. Мои данные'!C51=""),"",'2. Мои данные'!B51-'2. Мои данные'!C51)</f>
      </c>
      <c r="F100" s="8">
        <f>IF(OR('2. Мои данные'!B51="",'2. Мои данные'!C51=""),0,'2. Мои данные'!B51-'2. Мои данные'!C51)</f>
      </c>
      <c r="G100" s="8">
        <f>IF('23. Расчёты'!F100=0,"",ABS('23. Расчёты'!F100))</f>
      </c>
      <c r="H100" s="8">
        <f>IF('23. Расчёты'!F100=0,0,COUNTIF('23. Расчёты'!$G$61:$G$180,"&lt;"&amp;ABS('23. Расчёты'!F100))+(COUNTIF('23. Расчёты'!$G$61:$G$180,ABS('23. Расчёты'!F100))+1)/2)</f>
      </c>
    </row>
    <row r="101">
      <c r="A101" s="8">
        <f>IF('2. Мои данные'!B52="",0,COUNTIF(Выборка1,"&lt;"&amp;'2. Мои данные'!B52)+COUNTIF(Выборка2,"&lt;"&amp;'2. Мои данные'!B52)+(COUNTIF(Выборка1,'2. Мои данные'!B52)+COUNTIF(Выборка2,'2. Мои данные'!B52)+1)/2)</f>
      </c>
      <c r="B101" s="8">
        <f>IF('2. Мои данные'!C52="",0,COUNTIF(Выборка1,"&lt;"&amp;'2. Мои данные'!C52)+COUNTIF(Выборка2,"&lt;"&amp;'2. Мои данные'!C52)+(COUNTIF(Выборка1,'2. Мои данные'!C52)+COUNTIF(Выборка2,'2. Мои данные'!C52)+1)/2)</f>
      </c>
      <c r="C101" s="8">
        <f>IF('2. Мои данные'!B52="","",COUNTIF(Выборка1,"&lt;"&amp;'2. Мои данные'!B52)+(COUNTIF(Выборка1,'2. Мои данные'!B52)+1)/2)</f>
      </c>
      <c r="D101" s="8">
        <f>IF('2. Мои данные'!C52="","",COUNTIF(Выборка2,"&lt;"&amp;'2. Мои данные'!C52)+(COUNTIF(Выборка2,'2. Мои данные'!C52)+1)/2)</f>
      </c>
      <c r="E101" s="8">
        <f>IF(OR('2. Мои данные'!B52="",'2. Мои данные'!C52=""),"",'2. Мои данные'!B52-'2. Мои данные'!C52)</f>
      </c>
      <c r="F101" s="8">
        <f>IF(OR('2. Мои данные'!B52="",'2. Мои данные'!C52=""),0,'2. Мои данные'!B52-'2. Мои данные'!C52)</f>
      </c>
      <c r="G101" s="8">
        <f>IF('23. Расчёты'!F101=0,"",ABS('23. Расчёты'!F101))</f>
      </c>
      <c r="H101" s="8">
        <f>IF('23. Расчёты'!F101=0,0,COUNTIF('23. Расчёты'!$G$61:$G$180,"&lt;"&amp;ABS('23. Расчёты'!F101))+(COUNTIF('23. Расчёты'!$G$61:$G$180,ABS('23. Расчёты'!F101))+1)/2)</f>
      </c>
    </row>
    <row r="102">
      <c r="A102" s="8">
        <f>IF('2. Мои данные'!B53="",0,COUNTIF(Выборка1,"&lt;"&amp;'2. Мои данные'!B53)+COUNTIF(Выборка2,"&lt;"&amp;'2. Мои данные'!B53)+(COUNTIF(Выборка1,'2. Мои данные'!B53)+COUNTIF(Выборка2,'2. Мои данные'!B53)+1)/2)</f>
      </c>
      <c r="B102" s="8">
        <f>IF('2. Мои данные'!C53="",0,COUNTIF(Выборка1,"&lt;"&amp;'2. Мои данные'!C53)+COUNTIF(Выборка2,"&lt;"&amp;'2. Мои данные'!C53)+(COUNTIF(Выборка1,'2. Мои данные'!C53)+COUNTIF(Выборка2,'2. Мои данные'!C53)+1)/2)</f>
      </c>
      <c r="C102" s="8">
        <f>IF('2. Мои данные'!B53="","",COUNTIF(Выборка1,"&lt;"&amp;'2. Мои данные'!B53)+(COUNTIF(Выборка1,'2. Мои данные'!B53)+1)/2)</f>
      </c>
      <c r="D102" s="8">
        <f>IF('2. Мои данные'!C53="","",COUNTIF(Выборка2,"&lt;"&amp;'2. Мои данные'!C53)+(COUNTIF(Выборка2,'2. Мои данные'!C53)+1)/2)</f>
      </c>
      <c r="E102" s="8">
        <f>IF(OR('2. Мои данные'!B53="",'2. Мои данные'!C53=""),"",'2. Мои данные'!B53-'2. Мои данные'!C53)</f>
      </c>
      <c r="F102" s="8">
        <f>IF(OR('2. Мои данные'!B53="",'2. Мои данные'!C53=""),0,'2. Мои данные'!B53-'2. Мои данные'!C53)</f>
      </c>
      <c r="G102" s="8">
        <f>IF('23. Расчёты'!F102=0,"",ABS('23. Расчёты'!F102))</f>
      </c>
      <c r="H102" s="8">
        <f>IF('23. Расчёты'!F102=0,0,COUNTIF('23. Расчёты'!$G$61:$G$180,"&lt;"&amp;ABS('23. Расчёты'!F102))+(COUNTIF('23. Расчёты'!$G$61:$G$180,ABS('23. Расчёты'!F102))+1)/2)</f>
      </c>
    </row>
    <row r="103">
      <c r="A103" s="8">
        <f>IF('2. Мои данные'!B54="",0,COUNTIF(Выборка1,"&lt;"&amp;'2. Мои данные'!B54)+COUNTIF(Выборка2,"&lt;"&amp;'2. Мои данные'!B54)+(COUNTIF(Выборка1,'2. Мои данные'!B54)+COUNTIF(Выборка2,'2. Мои данные'!B54)+1)/2)</f>
      </c>
      <c r="B103" s="8">
        <f>IF('2. Мои данные'!C54="",0,COUNTIF(Выборка1,"&lt;"&amp;'2. Мои данные'!C54)+COUNTIF(Выборка2,"&lt;"&amp;'2. Мои данные'!C54)+(COUNTIF(Выборка1,'2. Мои данные'!C54)+COUNTIF(Выборка2,'2. Мои данные'!C54)+1)/2)</f>
      </c>
      <c r="C103" s="8">
        <f>IF('2. Мои данные'!B54="","",COUNTIF(Выборка1,"&lt;"&amp;'2. Мои данные'!B54)+(COUNTIF(Выборка1,'2. Мои данные'!B54)+1)/2)</f>
      </c>
      <c r="D103" s="8">
        <f>IF('2. Мои данные'!C54="","",COUNTIF(Выборка2,"&lt;"&amp;'2. Мои данные'!C54)+(COUNTIF(Выборка2,'2. Мои данные'!C54)+1)/2)</f>
      </c>
      <c r="E103" s="8">
        <f>IF(OR('2. Мои данные'!B54="",'2. Мои данные'!C54=""),"",'2. Мои данные'!B54-'2. Мои данные'!C54)</f>
      </c>
      <c r="F103" s="8">
        <f>IF(OR('2. Мои данные'!B54="",'2. Мои данные'!C54=""),0,'2. Мои данные'!B54-'2. Мои данные'!C54)</f>
      </c>
      <c r="G103" s="8">
        <f>IF('23. Расчёты'!F103=0,"",ABS('23. Расчёты'!F103))</f>
      </c>
      <c r="H103" s="8">
        <f>IF('23. Расчёты'!F103=0,0,COUNTIF('23. Расчёты'!$G$61:$G$180,"&lt;"&amp;ABS('23. Расчёты'!F103))+(COUNTIF('23. Расчёты'!$G$61:$G$180,ABS('23. Расчёты'!F103))+1)/2)</f>
      </c>
    </row>
    <row r="104">
      <c r="A104" s="8">
        <f>IF('2. Мои данные'!B55="",0,COUNTIF(Выборка1,"&lt;"&amp;'2. Мои данные'!B55)+COUNTIF(Выборка2,"&lt;"&amp;'2. Мои данные'!B55)+(COUNTIF(Выборка1,'2. Мои данные'!B55)+COUNTIF(Выборка2,'2. Мои данные'!B55)+1)/2)</f>
      </c>
      <c r="B104" s="8">
        <f>IF('2. Мои данные'!C55="",0,COUNTIF(Выборка1,"&lt;"&amp;'2. Мои данные'!C55)+COUNTIF(Выборка2,"&lt;"&amp;'2. Мои данные'!C55)+(COUNTIF(Выборка1,'2. Мои данные'!C55)+COUNTIF(Выборка2,'2. Мои данные'!C55)+1)/2)</f>
      </c>
      <c r="C104" s="8">
        <f>IF('2. Мои данные'!B55="","",COUNTIF(Выборка1,"&lt;"&amp;'2. Мои данные'!B55)+(COUNTIF(Выборка1,'2. Мои данные'!B55)+1)/2)</f>
      </c>
      <c r="D104" s="8">
        <f>IF('2. Мои данные'!C55="","",COUNTIF(Выборка2,"&lt;"&amp;'2. Мои данные'!C55)+(COUNTIF(Выборка2,'2. Мои данные'!C55)+1)/2)</f>
      </c>
      <c r="E104" s="8">
        <f>IF(OR('2. Мои данные'!B55="",'2. Мои данные'!C55=""),"",'2. Мои данные'!B55-'2. Мои данные'!C55)</f>
      </c>
      <c r="F104" s="8">
        <f>IF(OR('2. Мои данные'!B55="",'2. Мои данные'!C55=""),0,'2. Мои данные'!B55-'2. Мои данные'!C55)</f>
      </c>
      <c r="G104" s="8">
        <f>IF('23. Расчёты'!F104=0,"",ABS('23. Расчёты'!F104))</f>
      </c>
      <c r="H104" s="8">
        <f>IF('23. Расчёты'!F104=0,0,COUNTIF('23. Расчёты'!$G$61:$G$180,"&lt;"&amp;ABS('23. Расчёты'!F104))+(COUNTIF('23. Расчёты'!$G$61:$G$180,ABS('23. Расчёты'!F104))+1)/2)</f>
      </c>
    </row>
    <row r="105">
      <c r="A105" s="8">
        <f>IF('2. Мои данные'!B56="",0,COUNTIF(Выборка1,"&lt;"&amp;'2. Мои данные'!B56)+COUNTIF(Выборка2,"&lt;"&amp;'2. Мои данные'!B56)+(COUNTIF(Выборка1,'2. Мои данные'!B56)+COUNTIF(Выборка2,'2. Мои данные'!B56)+1)/2)</f>
      </c>
      <c r="B105" s="8">
        <f>IF('2. Мои данные'!C56="",0,COUNTIF(Выборка1,"&lt;"&amp;'2. Мои данные'!C56)+COUNTIF(Выборка2,"&lt;"&amp;'2. Мои данные'!C56)+(COUNTIF(Выборка1,'2. Мои данные'!C56)+COUNTIF(Выборка2,'2. Мои данные'!C56)+1)/2)</f>
      </c>
      <c r="C105" s="8">
        <f>IF('2. Мои данные'!B56="","",COUNTIF(Выборка1,"&lt;"&amp;'2. Мои данные'!B56)+(COUNTIF(Выборка1,'2. Мои данные'!B56)+1)/2)</f>
      </c>
      <c r="D105" s="8">
        <f>IF('2. Мои данные'!C56="","",COUNTIF(Выборка2,"&lt;"&amp;'2. Мои данные'!C56)+(COUNTIF(Выборка2,'2. Мои данные'!C56)+1)/2)</f>
      </c>
      <c r="E105" s="8">
        <f>IF(OR('2. Мои данные'!B56="",'2. Мои данные'!C56=""),"",'2. Мои данные'!B56-'2. Мои данные'!C56)</f>
      </c>
      <c r="F105" s="8">
        <f>IF(OR('2. Мои данные'!B56="",'2. Мои данные'!C56=""),0,'2. Мои данные'!B56-'2. Мои данные'!C56)</f>
      </c>
      <c r="G105" s="8">
        <f>IF('23. Расчёты'!F105=0,"",ABS('23. Расчёты'!F105))</f>
      </c>
      <c r="H105" s="8">
        <f>IF('23. Расчёты'!F105=0,0,COUNTIF('23. Расчёты'!$G$61:$G$180,"&lt;"&amp;ABS('23. Расчёты'!F105))+(COUNTIF('23. Расчёты'!$G$61:$G$180,ABS('23. Расчёты'!F105))+1)/2)</f>
      </c>
    </row>
    <row r="106">
      <c r="A106" s="8">
        <f>IF('2. Мои данные'!B57="",0,COUNTIF(Выборка1,"&lt;"&amp;'2. Мои данные'!B57)+COUNTIF(Выборка2,"&lt;"&amp;'2. Мои данные'!B57)+(COUNTIF(Выборка1,'2. Мои данные'!B57)+COUNTIF(Выборка2,'2. Мои данные'!B57)+1)/2)</f>
      </c>
      <c r="B106" s="8">
        <f>IF('2. Мои данные'!C57="",0,COUNTIF(Выборка1,"&lt;"&amp;'2. Мои данные'!C57)+COUNTIF(Выборка2,"&lt;"&amp;'2. Мои данные'!C57)+(COUNTIF(Выборка1,'2. Мои данные'!C57)+COUNTIF(Выборка2,'2. Мои данные'!C57)+1)/2)</f>
      </c>
      <c r="C106" s="8">
        <f>IF('2. Мои данные'!B57="","",COUNTIF(Выборка1,"&lt;"&amp;'2. Мои данные'!B57)+(COUNTIF(Выборка1,'2. Мои данные'!B57)+1)/2)</f>
      </c>
      <c r="D106" s="8">
        <f>IF('2. Мои данные'!C57="","",COUNTIF(Выборка2,"&lt;"&amp;'2. Мои данные'!C57)+(COUNTIF(Выборка2,'2. Мои данные'!C57)+1)/2)</f>
      </c>
      <c r="E106" s="8">
        <f>IF(OR('2. Мои данные'!B57="",'2. Мои данные'!C57=""),"",'2. Мои данные'!B57-'2. Мои данные'!C57)</f>
      </c>
      <c r="F106" s="8">
        <f>IF(OR('2. Мои данные'!B57="",'2. Мои данные'!C57=""),0,'2. Мои данные'!B57-'2. Мои данные'!C57)</f>
      </c>
      <c r="G106" s="8">
        <f>IF('23. Расчёты'!F106=0,"",ABS('23. Расчёты'!F106))</f>
      </c>
      <c r="H106" s="8">
        <f>IF('23. Расчёты'!F106=0,0,COUNTIF('23. Расчёты'!$G$61:$G$180,"&lt;"&amp;ABS('23. Расчёты'!F106))+(COUNTIF('23. Расчёты'!$G$61:$G$180,ABS('23. Расчёты'!F106))+1)/2)</f>
      </c>
    </row>
    <row r="107">
      <c r="A107" s="8">
        <f>IF('2. Мои данные'!B58="",0,COUNTIF(Выборка1,"&lt;"&amp;'2. Мои данные'!B58)+COUNTIF(Выборка2,"&lt;"&amp;'2. Мои данные'!B58)+(COUNTIF(Выборка1,'2. Мои данные'!B58)+COUNTIF(Выборка2,'2. Мои данные'!B58)+1)/2)</f>
      </c>
      <c r="B107" s="8">
        <f>IF('2. Мои данные'!C58="",0,COUNTIF(Выборка1,"&lt;"&amp;'2. Мои данные'!C58)+COUNTIF(Выборка2,"&lt;"&amp;'2. Мои данные'!C58)+(COUNTIF(Выборка1,'2. Мои данные'!C58)+COUNTIF(Выборка2,'2. Мои данные'!C58)+1)/2)</f>
      </c>
      <c r="C107" s="8">
        <f>IF('2. Мои данные'!B58="","",COUNTIF(Выборка1,"&lt;"&amp;'2. Мои данные'!B58)+(COUNTIF(Выборка1,'2. Мои данные'!B58)+1)/2)</f>
      </c>
      <c r="D107" s="8">
        <f>IF('2. Мои данные'!C58="","",COUNTIF(Выборка2,"&lt;"&amp;'2. Мои данные'!C58)+(COUNTIF(Выборка2,'2. Мои данные'!C58)+1)/2)</f>
      </c>
      <c r="E107" s="8">
        <f>IF(OR('2. Мои данные'!B58="",'2. Мои данные'!C58=""),"",'2. Мои данные'!B58-'2. Мои данные'!C58)</f>
      </c>
      <c r="F107" s="8">
        <f>IF(OR('2. Мои данные'!B58="",'2. Мои данные'!C58=""),0,'2. Мои данные'!B58-'2. Мои данные'!C58)</f>
      </c>
      <c r="G107" s="8">
        <f>IF('23. Расчёты'!F107=0,"",ABS('23. Расчёты'!F107))</f>
      </c>
      <c r="H107" s="8">
        <f>IF('23. Расчёты'!F107=0,0,COUNTIF('23. Расчёты'!$G$61:$G$180,"&lt;"&amp;ABS('23. Расчёты'!F107))+(COUNTIF('23. Расчёты'!$G$61:$G$180,ABS('23. Расчёты'!F107))+1)/2)</f>
      </c>
    </row>
    <row r="108">
      <c r="A108" s="8">
        <f>IF('2. Мои данные'!B59="",0,COUNTIF(Выборка1,"&lt;"&amp;'2. Мои данные'!B59)+COUNTIF(Выборка2,"&lt;"&amp;'2. Мои данные'!B59)+(COUNTIF(Выборка1,'2. Мои данные'!B59)+COUNTIF(Выборка2,'2. Мои данные'!B59)+1)/2)</f>
      </c>
      <c r="B108" s="8">
        <f>IF('2. Мои данные'!C59="",0,COUNTIF(Выборка1,"&lt;"&amp;'2. Мои данные'!C59)+COUNTIF(Выборка2,"&lt;"&amp;'2. Мои данные'!C59)+(COUNTIF(Выборка1,'2. Мои данные'!C59)+COUNTIF(Выборка2,'2. Мои данные'!C59)+1)/2)</f>
      </c>
      <c r="C108" s="8">
        <f>IF('2. Мои данные'!B59="","",COUNTIF(Выборка1,"&lt;"&amp;'2. Мои данные'!B59)+(COUNTIF(Выборка1,'2. Мои данные'!B59)+1)/2)</f>
      </c>
      <c r="D108" s="8">
        <f>IF('2. Мои данные'!C59="","",COUNTIF(Выборка2,"&lt;"&amp;'2. Мои данные'!C59)+(COUNTIF(Выборка2,'2. Мои данные'!C59)+1)/2)</f>
      </c>
      <c r="E108" s="8">
        <f>IF(OR('2. Мои данные'!B59="",'2. Мои данные'!C59=""),"",'2. Мои данные'!B59-'2. Мои данные'!C59)</f>
      </c>
      <c r="F108" s="8">
        <f>IF(OR('2. Мои данные'!B59="",'2. Мои данные'!C59=""),0,'2. Мои данные'!B59-'2. Мои данные'!C59)</f>
      </c>
      <c r="G108" s="8">
        <f>IF('23. Расчёты'!F108=0,"",ABS('23. Расчёты'!F108))</f>
      </c>
      <c r="H108" s="8">
        <f>IF('23. Расчёты'!F108=0,0,COUNTIF('23. Расчёты'!$G$61:$G$180,"&lt;"&amp;ABS('23. Расчёты'!F108))+(COUNTIF('23. Расчёты'!$G$61:$G$180,ABS('23. Расчёты'!F108))+1)/2)</f>
      </c>
    </row>
    <row r="109">
      <c r="A109" s="8">
        <f>IF('2. Мои данные'!B60="",0,COUNTIF(Выборка1,"&lt;"&amp;'2. Мои данные'!B60)+COUNTIF(Выборка2,"&lt;"&amp;'2. Мои данные'!B60)+(COUNTIF(Выборка1,'2. Мои данные'!B60)+COUNTIF(Выборка2,'2. Мои данные'!B60)+1)/2)</f>
      </c>
      <c r="B109" s="8">
        <f>IF('2. Мои данные'!C60="",0,COUNTIF(Выборка1,"&lt;"&amp;'2. Мои данные'!C60)+COUNTIF(Выборка2,"&lt;"&amp;'2. Мои данные'!C60)+(COUNTIF(Выборка1,'2. Мои данные'!C60)+COUNTIF(Выборка2,'2. Мои данные'!C60)+1)/2)</f>
      </c>
      <c r="C109" s="8">
        <f>IF('2. Мои данные'!B60="","",COUNTIF(Выборка1,"&lt;"&amp;'2. Мои данные'!B60)+(COUNTIF(Выборка1,'2. Мои данные'!B60)+1)/2)</f>
      </c>
      <c r="D109" s="8">
        <f>IF('2. Мои данные'!C60="","",COUNTIF(Выборка2,"&lt;"&amp;'2. Мои данные'!C60)+(COUNTIF(Выборка2,'2. Мои данные'!C60)+1)/2)</f>
      </c>
      <c r="E109" s="8">
        <f>IF(OR('2. Мои данные'!B60="",'2. Мои данные'!C60=""),"",'2. Мои данные'!B60-'2. Мои данные'!C60)</f>
      </c>
      <c r="F109" s="8">
        <f>IF(OR('2. Мои данные'!B60="",'2. Мои данные'!C60=""),0,'2. Мои данные'!B60-'2. Мои данные'!C60)</f>
      </c>
      <c r="G109" s="8">
        <f>IF('23. Расчёты'!F109=0,"",ABS('23. Расчёты'!F109))</f>
      </c>
      <c r="H109" s="8">
        <f>IF('23. Расчёты'!F109=0,0,COUNTIF('23. Расчёты'!$G$61:$G$180,"&lt;"&amp;ABS('23. Расчёты'!F109))+(COUNTIF('23. Расчёты'!$G$61:$G$180,ABS('23. Расчёты'!F109))+1)/2)</f>
      </c>
    </row>
    <row r="110">
      <c r="A110" s="8">
        <f>IF('2. Мои данные'!B61="",0,COUNTIF(Выборка1,"&lt;"&amp;'2. Мои данные'!B61)+COUNTIF(Выборка2,"&lt;"&amp;'2. Мои данные'!B61)+(COUNTIF(Выборка1,'2. Мои данные'!B61)+COUNTIF(Выборка2,'2. Мои данные'!B61)+1)/2)</f>
      </c>
      <c r="B110" s="8">
        <f>IF('2. Мои данные'!C61="",0,COUNTIF(Выборка1,"&lt;"&amp;'2. Мои данные'!C61)+COUNTIF(Выборка2,"&lt;"&amp;'2. Мои данные'!C61)+(COUNTIF(Выборка1,'2. Мои данные'!C61)+COUNTIF(Выборка2,'2. Мои данные'!C61)+1)/2)</f>
      </c>
      <c r="C110" s="8">
        <f>IF('2. Мои данные'!B61="","",COUNTIF(Выборка1,"&lt;"&amp;'2. Мои данные'!B61)+(COUNTIF(Выборка1,'2. Мои данные'!B61)+1)/2)</f>
      </c>
      <c r="D110" s="8">
        <f>IF('2. Мои данные'!C61="","",COUNTIF(Выборка2,"&lt;"&amp;'2. Мои данные'!C61)+(COUNTIF(Выборка2,'2. Мои данные'!C61)+1)/2)</f>
      </c>
      <c r="E110" s="8">
        <f>IF(OR('2. Мои данные'!B61="",'2. Мои данные'!C61=""),"",'2. Мои данные'!B61-'2. Мои данные'!C61)</f>
      </c>
      <c r="F110" s="8">
        <f>IF(OR('2. Мои данные'!B61="",'2. Мои данные'!C61=""),0,'2. Мои данные'!B61-'2. Мои данные'!C61)</f>
      </c>
      <c r="G110" s="8">
        <f>IF('23. Расчёты'!F110=0,"",ABS('23. Расчёты'!F110))</f>
      </c>
      <c r="H110" s="8">
        <f>IF('23. Расчёты'!F110=0,0,COUNTIF('23. Расчёты'!$G$61:$G$180,"&lt;"&amp;ABS('23. Расчёты'!F110))+(COUNTIF('23. Расчёты'!$G$61:$G$180,ABS('23. Расчёты'!F110))+1)/2)</f>
      </c>
    </row>
    <row r="111">
      <c r="A111" s="8">
        <f>IF('2. Мои данные'!B62="",0,COUNTIF(Выборка1,"&lt;"&amp;'2. Мои данные'!B62)+COUNTIF(Выборка2,"&lt;"&amp;'2. Мои данные'!B62)+(COUNTIF(Выборка1,'2. Мои данные'!B62)+COUNTIF(Выборка2,'2. Мои данные'!B62)+1)/2)</f>
      </c>
      <c r="B111" s="8">
        <f>IF('2. Мои данные'!C62="",0,COUNTIF(Выборка1,"&lt;"&amp;'2. Мои данные'!C62)+COUNTIF(Выборка2,"&lt;"&amp;'2. Мои данные'!C62)+(COUNTIF(Выборка1,'2. Мои данные'!C62)+COUNTIF(Выборка2,'2. Мои данные'!C62)+1)/2)</f>
      </c>
      <c r="C111" s="8">
        <f>IF('2. Мои данные'!B62="","",COUNTIF(Выборка1,"&lt;"&amp;'2. Мои данные'!B62)+(COUNTIF(Выборка1,'2. Мои данные'!B62)+1)/2)</f>
      </c>
      <c r="D111" s="8">
        <f>IF('2. Мои данные'!C62="","",COUNTIF(Выборка2,"&lt;"&amp;'2. Мои данные'!C62)+(COUNTIF(Выборка2,'2. Мои данные'!C62)+1)/2)</f>
      </c>
      <c r="E111" s="8">
        <f>IF(OR('2. Мои данные'!B62="",'2. Мои данные'!C62=""),"",'2. Мои данные'!B62-'2. Мои данные'!C62)</f>
      </c>
      <c r="F111" s="8">
        <f>IF(OR('2. Мои данные'!B62="",'2. Мои данные'!C62=""),0,'2. Мои данные'!B62-'2. Мои данные'!C62)</f>
      </c>
      <c r="G111" s="8">
        <f>IF('23. Расчёты'!F111=0,"",ABS('23. Расчёты'!F111))</f>
      </c>
      <c r="H111" s="8">
        <f>IF('23. Расчёты'!F111=0,0,COUNTIF('23. Расчёты'!$G$61:$G$180,"&lt;"&amp;ABS('23. Расчёты'!F111))+(COUNTIF('23. Расчёты'!$G$61:$G$180,ABS('23. Расчёты'!F111))+1)/2)</f>
      </c>
    </row>
    <row r="112">
      <c r="A112" s="8">
        <f>IF('2. Мои данные'!B63="",0,COUNTIF(Выборка1,"&lt;"&amp;'2. Мои данные'!B63)+COUNTIF(Выборка2,"&lt;"&amp;'2. Мои данные'!B63)+(COUNTIF(Выборка1,'2. Мои данные'!B63)+COUNTIF(Выборка2,'2. Мои данные'!B63)+1)/2)</f>
      </c>
      <c r="B112" s="8">
        <f>IF('2. Мои данные'!C63="",0,COUNTIF(Выборка1,"&lt;"&amp;'2. Мои данные'!C63)+COUNTIF(Выборка2,"&lt;"&amp;'2. Мои данные'!C63)+(COUNTIF(Выборка1,'2. Мои данные'!C63)+COUNTIF(Выборка2,'2. Мои данные'!C63)+1)/2)</f>
      </c>
      <c r="C112" s="8">
        <f>IF('2. Мои данные'!B63="","",COUNTIF(Выборка1,"&lt;"&amp;'2. Мои данные'!B63)+(COUNTIF(Выборка1,'2. Мои данные'!B63)+1)/2)</f>
      </c>
      <c r="D112" s="8">
        <f>IF('2. Мои данные'!C63="","",COUNTIF(Выборка2,"&lt;"&amp;'2. Мои данные'!C63)+(COUNTIF(Выборка2,'2. Мои данные'!C63)+1)/2)</f>
      </c>
      <c r="E112" s="8">
        <f>IF(OR('2. Мои данные'!B63="",'2. Мои данные'!C63=""),"",'2. Мои данные'!B63-'2. Мои данные'!C63)</f>
      </c>
      <c r="F112" s="8">
        <f>IF(OR('2. Мои данные'!B63="",'2. Мои данные'!C63=""),0,'2. Мои данные'!B63-'2. Мои данные'!C63)</f>
      </c>
      <c r="G112" s="8">
        <f>IF('23. Расчёты'!F112=0,"",ABS('23. Расчёты'!F112))</f>
      </c>
      <c r="H112" s="8">
        <f>IF('23. Расчёты'!F112=0,0,COUNTIF('23. Расчёты'!$G$61:$G$180,"&lt;"&amp;ABS('23. Расчёты'!F112))+(COUNTIF('23. Расчёты'!$G$61:$G$180,ABS('23. Расчёты'!F112))+1)/2)</f>
      </c>
    </row>
    <row r="113">
      <c r="A113" s="8">
        <f>IF('2. Мои данные'!B64="",0,COUNTIF(Выборка1,"&lt;"&amp;'2. Мои данные'!B64)+COUNTIF(Выборка2,"&lt;"&amp;'2. Мои данные'!B64)+(COUNTIF(Выборка1,'2. Мои данные'!B64)+COUNTIF(Выборка2,'2. Мои данные'!B64)+1)/2)</f>
      </c>
      <c r="B113" s="8">
        <f>IF('2. Мои данные'!C64="",0,COUNTIF(Выборка1,"&lt;"&amp;'2. Мои данные'!C64)+COUNTIF(Выборка2,"&lt;"&amp;'2. Мои данные'!C64)+(COUNTIF(Выборка1,'2. Мои данные'!C64)+COUNTIF(Выборка2,'2. Мои данные'!C64)+1)/2)</f>
      </c>
      <c r="C113" s="8">
        <f>IF('2. Мои данные'!B64="","",COUNTIF(Выборка1,"&lt;"&amp;'2. Мои данные'!B64)+(COUNTIF(Выборка1,'2. Мои данные'!B64)+1)/2)</f>
      </c>
      <c r="D113" s="8">
        <f>IF('2. Мои данные'!C64="","",COUNTIF(Выборка2,"&lt;"&amp;'2. Мои данные'!C64)+(COUNTIF(Выборка2,'2. Мои данные'!C64)+1)/2)</f>
      </c>
      <c r="E113" s="8">
        <f>IF(OR('2. Мои данные'!B64="",'2. Мои данные'!C64=""),"",'2. Мои данные'!B64-'2. Мои данные'!C64)</f>
      </c>
      <c r="F113" s="8">
        <f>IF(OR('2. Мои данные'!B64="",'2. Мои данные'!C64=""),0,'2. Мои данные'!B64-'2. Мои данные'!C64)</f>
      </c>
      <c r="G113" s="8">
        <f>IF('23. Расчёты'!F113=0,"",ABS('23. Расчёты'!F113))</f>
      </c>
      <c r="H113" s="8">
        <f>IF('23. Расчёты'!F113=0,0,COUNTIF('23. Расчёты'!$G$61:$G$180,"&lt;"&amp;ABS('23. Расчёты'!F113))+(COUNTIF('23. Расчёты'!$G$61:$G$180,ABS('23. Расчёты'!F113))+1)/2)</f>
      </c>
    </row>
    <row r="114">
      <c r="A114" s="8">
        <f>IF('2. Мои данные'!B65="",0,COUNTIF(Выборка1,"&lt;"&amp;'2. Мои данные'!B65)+COUNTIF(Выборка2,"&lt;"&amp;'2. Мои данные'!B65)+(COUNTIF(Выборка1,'2. Мои данные'!B65)+COUNTIF(Выборка2,'2. Мои данные'!B65)+1)/2)</f>
      </c>
      <c r="B114" s="8">
        <f>IF('2. Мои данные'!C65="",0,COUNTIF(Выборка1,"&lt;"&amp;'2. Мои данные'!C65)+COUNTIF(Выборка2,"&lt;"&amp;'2. Мои данные'!C65)+(COUNTIF(Выборка1,'2. Мои данные'!C65)+COUNTIF(Выборка2,'2. Мои данные'!C65)+1)/2)</f>
      </c>
      <c r="C114" s="8">
        <f>IF('2. Мои данные'!B65="","",COUNTIF(Выборка1,"&lt;"&amp;'2. Мои данные'!B65)+(COUNTIF(Выборка1,'2. Мои данные'!B65)+1)/2)</f>
      </c>
      <c r="D114" s="8">
        <f>IF('2. Мои данные'!C65="","",COUNTIF(Выборка2,"&lt;"&amp;'2. Мои данные'!C65)+(COUNTIF(Выборка2,'2. Мои данные'!C65)+1)/2)</f>
      </c>
      <c r="E114" s="8">
        <f>IF(OR('2. Мои данные'!B65="",'2. Мои данные'!C65=""),"",'2. Мои данные'!B65-'2. Мои данные'!C65)</f>
      </c>
      <c r="F114" s="8">
        <f>IF(OR('2. Мои данные'!B65="",'2. Мои данные'!C65=""),0,'2. Мои данные'!B65-'2. Мои данные'!C65)</f>
      </c>
      <c r="G114" s="8">
        <f>IF('23. Расчёты'!F114=0,"",ABS('23. Расчёты'!F114))</f>
      </c>
      <c r="H114" s="8">
        <f>IF('23. Расчёты'!F114=0,0,COUNTIF('23. Расчёты'!$G$61:$G$180,"&lt;"&amp;ABS('23. Расчёты'!F114))+(COUNTIF('23. Расчёты'!$G$61:$G$180,ABS('23. Расчёты'!F114))+1)/2)</f>
      </c>
    </row>
    <row r="115">
      <c r="A115" s="8">
        <f>IF('2. Мои данные'!B66="",0,COUNTIF(Выборка1,"&lt;"&amp;'2. Мои данные'!B66)+COUNTIF(Выборка2,"&lt;"&amp;'2. Мои данные'!B66)+(COUNTIF(Выборка1,'2. Мои данные'!B66)+COUNTIF(Выборка2,'2. Мои данные'!B66)+1)/2)</f>
      </c>
      <c r="B115" s="8">
        <f>IF('2. Мои данные'!C66="",0,COUNTIF(Выборка1,"&lt;"&amp;'2. Мои данные'!C66)+COUNTIF(Выборка2,"&lt;"&amp;'2. Мои данные'!C66)+(COUNTIF(Выборка1,'2. Мои данные'!C66)+COUNTIF(Выборка2,'2. Мои данные'!C66)+1)/2)</f>
      </c>
      <c r="C115" s="8">
        <f>IF('2. Мои данные'!B66="","",COUNTIF(Выборка1,"&lt;"&amp;'2. Мои данные'!B66)+(COUNTIF(Выборка1,'2. Мои данные'!B66)+1)/2)</f>
      </c>
      <c r="D115" s="8">
        <f>IF('2. Мои данные'!C66="","",COUNTIF(Выборка2,"&lt;"&amp;'2. Мои данные'!C66)+(COUNTIF(Выборка2,'2. Мои данные'!C66)+1)/2)</f>
      </c>
      <c r="E115" s="8">
        <f>IF(OR('2. Мои данные'!B66="",'2. Мои данные'!C66=""),"",'2. Мои данные'!B66-'2. Мои данные'!C66)</f>
      </c>
      <c r="F115" s="8">
        <f>IF(OR('2. Мои данные'!B66="",'2. Мои данные'!C66=""),0,'2. Мои данные'!B66-'2. Мои данные'!C66)</f>
      </c>
      <c r="G115" s="8">
        <f>IF('23. Расчёты'!F115=0,"",ABS('23. Расчёты'!F115))</f>
      </c>
      <c r="H115" s="8">
        <f>IF('23. Расчёты'!F115=0,0,COUNTIF('23. Расчёты'!$G$61:$G$180,"&lt;"&amp;ABS('23. Расчёты'!F115))+(COUNTIF('23. Расчёты'!$G$61:$G$180,ABS('23. Расчёты'!F115))+1)/2)</f>
      </c>
    </row>
    <row r="116">
      <c r="A116" s="8">
        <f>IF('2. Мои данные'!B67="",0,COUNTIF(Выборка1,"&lt;"&amp;'2. Мои данные'!B67)+COUNTIF(Выборка2,"&lt;"&amp;'2. Мои данные'!B67)+(COUNTIF(Выборка1,'2. Мои данные'!B67)+COUNTIF(Выборка2,'2. Мои данные'!B67)+1)/2)</f>
      </c>
      <c r="B116" s="8">
        <f>IF('2. Мои данные'!C67="",0,COUNTIF(Выборка1,"&lt;"&amp;'2. Мои данные'!C67)+COUNTIF(Выборка2,"&lt;"&amp;'2. Мои данные'!C67)+(COUNTIF(Выборка1,'2. Мои данные'!C67)+COUNTIF(Выборка2,'2. Мои данные'!C67)+1)/2)</f>
      </c>
      <c r="C116" s="8">
        <f>IF('2. Мои данные'!B67="","",COUNTIF(Выборка1,"&lt;"&amp;'2. Мои данные'!B67)+(COUNTIF(Выборка1,'2. Мои данные'!B67)+1)/2)</f>
      </c>
      <c r="D116" s="8">
        <f>IF('2. Мои данные'!C67="","",COUNTIF(Выборка2,"&lt;"&amp;'2. Мои данные'!C67)+(COUNTIF(Выборка2,'2. Мои данные'!C67)+1)/2)</f>
      </c>
      <c r="E116" s="8">
        <f>IF(OR('2. Мои данные'!B67="",'2. Мои данные'!C67=""),"",'2. Мои данные'!B67-'2. Мои данные'!C67)</f>
      </c>
      <c r="F116" s="8">
        <f>IF(OR('2. Мои данные'!B67="",'2. Мои данные'!C67=""),0,'2. Мои данные'!B67-'2. Мои данные'!C67)</f>
      </c>
      <c r="G116" s="8">
        <f>IF('23. Расчёты'!F116=0,"",ABS('23. Расчёты'!F116))</f>
      </c>
      <c r="H116" s="8">
        <f>IF('23. Расчёты'!F116=0,0,COUNTIF('23. Расчёты'!$G$61:$G$180,"&lt;"&amp;ABS('23. Расчёты'!F116))+(COUNTIF('23. Расчёты'!$G$61:$G$180,ABS('23. Расчёты'!F116))+1)/2)</f>
      </c>
    </row>
    <row r="117">
      <c r="A117" s="8">
        <f>IF('2. Мои данные'!B68="",0,COUNTIF(Выборка1,"&lt;"&amp;'2. Мои данные'!B68)+COUNTIF(Выборка2,"&lt;"&amp;'2. Мои данные'!B68)+(COUNTIF(Выборка1,'2. Мои данные'!B68)+COUNTIF(Выборка2,'2. Мои данные'!B68)+1)/2)</f>
      </c>
      <c r="B117" s="8">
        <f>IF('2. Мои данные'!C68="",0,COUNTIF(Выборка1,"&lt;"&amp;'2. Мои данные'!C68)+COUNTIF(Выборка2,"&lt;"&amp;'2. Мои данные'!C68)+(COUNTIF(Выборка1,'2. Мои данные'!C68)+COUNTIF(Выборка2,'2. Мои данные'!C68)+1)/2)</f>
      </c>
      <c r="C117" s="8">
        <f>IF('2. Мои данные'!B68="","",COUNTIF(Выборка1,"&lt;"&amp;'2. Мои данные'!B68)+(COUNTIF(Выборка1,'2. Мои данные'!B68)+1)/2)</f>
      </c>
      <c r="D117" s="8">
        <f>IF('2. Мои данные'!C68="","",COUNTIF(Выборка2,"&lt;"&amp;'2. Мои данные'!C68)+(COUNTIF(Выборка2,'2. Мои данные'!C68)+1)/2)</f>
      </c>
      <c r="E117" s="8">
        <f>IF(OR('2. Мои данные'!B68="",'2. Мои данные'!C68=""),"",'2. Мои данные'!B68-'2. Мои данные'!C68)</f>
      </c>
      <c r="F117" s="8">
        <f>IF(OR('2. Мои данные'!B68="",'2. Мои данные'!C68=""),0,'2. Мои данные'!B68-'2. Мои данные'!C68)</f>
      </c>
      <c r="G117" s="8">
        <f>IF('23. Расчёты'!F117=0,"",ABS('23. Расчёты'!F117))</f>
      </c>
      <c r="H117" s="8">
        <f>IF('23. Расчёты'!F117=0,0,COUNTIF('23. Расчёты'!$G$61:$G$180,"&lt;"&amp;ABS('23. Расчёты'!F117))+(COUNTIF('23. Расчёты'!$G$61:$G$180,ABS('23. Расчёты'!F117))+1)/2)</f>
      </c>
    </row>
    <row r="118">
      <c r="A118" s="8">
        <f>IF('2. Мои данные'!B69="",0,COUNTIF(Выборка1,"&lt;"&amp;'2. Мои данные'!B69)+COUNTIF(Выборка2,"&lt;"&amp;'2. Мои данные'!B69)+(COUNTIF(Выборка1,'2. Мои данные'!B69)+COUNTIF(Выборка2,'2. Мои данные'!B69)+1)/2)</f>
      </c>
      <c r="B118" s="8">
        <f>IF('2. Мои данные'!C69="",0,COUNTIF(Выборка1,"&lt;"&amp;'2. Мои данные'!C69)+COUNTIF(Выборка2,"&lt;"&amp;'2. Мои данные'!C69)+(COUNTIF(Выборка1,'2. Мои данные'!C69)+COUNTIF(Выборка2,'2. Мои данные'!C69)+1)/2)</f>
      </c>
      <c r="C118" s="8">
        <f>IF('2. Мои данные'!B69="","",COUNTIF(Выборка1,"&lt;"&amp;'2. Мои данные'!B69)+(COUNTIF(Выборка1,'2. Мои данные'!B69)+1)/2)</f>
      </c>
      <c r="D118" s="8">
        <f>IF('2. Мои данные'!C69="","",COUNTIF(Выборка2,"&lt;"&amp;'2. Мои данные'!C69)+(COUNTIF(Выборка2,'2. Мои данные'!C69)+1)/2)</f>
      </c>
      <c r="E118" s="8">
        <f>IF(OR('2. Мои данные'!B69="",'2. Мои данные'!C69=""),"",'2. Мои данные'!B69-'2. Мои данные'!C69)</f>
      </c>
      <c r="F118" s="8">
        <f>IF(OR('2. Мои данные'!B69="",'2. Мои данные'!C69=""),0,'2. Мои данные'!B69-'2. Мои данные'!C69)</f>
      </c>
      <c r="G118" s="8">
        <f>IF('23. Расчёты'!F118=0,"",ABS('23. Расчёты'!F118))</f>
      </c>
      <c r="H118" s="8">
        <f>IF('23. Расчёты'!F118=0,0,COUNTIF('23. Расчёты'!$G$61:$G$180,"&lt;"&amp;ABS('23. Расчёты'!F118))+(COUNTIF('23. Расчёты'!$G$61:$G$180,ABS('23. Расчёты'!F118))+1)/2)</f>
      </c>
    </row>
    <row r="119">
      <c r="A119" s="8">
        <f>IF('2. Мои данные'!B70="",0,COUNTIF(Выборка1,"&lt;"&amp;'2. Мои данные'!B70)+COUNTIF(Выборка2,"&lt;"&amp;'2. Мои данные'!B70)+(COUNTIF(Выборка1,'2. Мои данные'!B70)+COUNTIF(Выборка2,'2. Мои данные'!B70)+1)/2)</f>
      </c>
      <c r="B119" s="8">
        <f>IF('2. Мои данные'!C70="",0,COUNTIF(Выборка1,"&lt;"&amp;'2. Мои данные'!C70)+COUNTIF(Выборка2,"&lt;"&amp;'2. Мои данные'!C70)+(COUNTIF(Выборка1,'2. Мои данные'!C70)+COUNTIF(Выборка2,'2. Мои данные'!C70)+1)/2)</f>
      </c>
      <c r="C119" s="8">
        <f>IF('2. Мои данные'!B70="","",COUNTIF(Выборка1,"&lt;"&amp;'2. Мои данные'!B70)+(COUNTIF(Выборка1,'2. Мои данные'!B70)+1)/2)</f>
      </c>
      <c r="D119" s="8">
        <f>IF('2. Мои данные'!C70="","",COUNTIF(Выборка2,"&lt;"&amp;'2. Мои данные'!C70)+(COUNTIF(Выборка2,'2. Мои данные'!C70)+1)/2)</f>
      </c>
      <c r="E119" s="8">
        <f>IF(OR('2. Мои данные'!B70="",'2. Мои данные'!C70=""),"",'2. Мои данные'!B70-'2. Мои данные'!C70)</f>
      </c>
      <c r="F119" s="8">
        <f>IF(OR('2. Мои данные'!B70="",'2. Мои данные'!C70=""),0,'2. Мои данные'!B70-'2. Мои данные'!C70)</f>
      </c>
      <c r="G119" s="8">
        <f>IF('23. Расчёты'!F119=0,"",ABS('23. Расчёты'!F119))</f>
      </c>
      <c r="H119" s="8">
        <f>IF('23. Расчёты'!F119=0,0,COUNTIF('23. Расчёты'!$G$61:$G$180,"&lt;"&amp;ABS('23. Расчёты'!F119))+(COUNTIF('23. Расчёты'!$G$61:$G$180,ABS('23. Расчёты'!F119))+1)/2)</f>
      </c>
    </row>
    <row r="120">
      <c r="A120" s="8">
        <f>IF('2. Мои данные'!B71="",0,COUNTIF(Выборка1,"&lt;"&amp;'2. Мои данные'!B71)+COUNTIF(Выборка2,"&lt;"&amp;'2. Мои данные'!B71)+(COUNTIF(Выборка1,'2. Мои данные'!B71)+COUNTIF(Выборка2,'2. Мои данные'!B71)+1)/2)</f>
      </c>
      <c r="B120" s="8">
        <f>IF('2. Мои данные'!C71="",0,COUNTIF(Выборка1,"&lt;"&amp;'2. Мои данные'!C71)+COUNTIF(Выборка2,"&lt;"&amp;'2. Мои данные'!C71)+(COUNTIF(Выборка1,'2. Мои данные'!C71)+COUNTIF(Выборка2,'2. Мои данные'!C71)+1)/2)</f>
      </c>
      <c r="C120" s="8">
        <f>IF('2. Мои данные'!B71="","",COUNTIF(Выборка1,"&lt;"&amp;'2. Мои данные'!B71)+(COUNTIF(Выборка1,'2. Мои данные'!B71)+1)/2)</f>
      </c>
      <c r="D120" s="8">
        <f>IF('2. Мои данные'!C71="","",COUNTIF(Выборка2,"&lt;"&amp;'2. Мои данные'!C71)+(COUNTIF(Выборка2,'2. Мои данные'!C71)+1)/2)</f>
      </c>
      <c r="E120" s="8">
        <f>IF(OR('2. Мои данные'!B71="",'2. Мои данные'!C71=""),"",'2. Мои данные'!B71-'2. Мои данные'!C71)</f>
      </c>
      <c r="F120" s="8">
        <f>IF(OR('2. Мои данные'!B71="",'2. Мои данные'!C71=""),0,'2. Мои данные'!B71-'2. Мои данные'!C71)</f>
      </c>
      <c r="G120" s="8">
        <f>IF('23. Расчёты'!F120=0,"",ABS('23. Расчёты'!F120))</f>
      </c>
      <c r="H120" s="8">
        <f>IF('23. Расчёты'!F120=0,0,COUNTIF('23. Расчёты'!$G$61:$G$180,"&lt;"&amp;ABS('23. Расчёты'!F120))+(COUNTIF('23. Расчёты'!$G$61:$G$180,ABS('23. Расчёты'!F120))+1)/2)</f>
      </c>
    </row>
    <row r="121">
      <c r="A121" s="8">
        <f>IF('2. Мои данные'!B72="",0,COUNTIF(Выборка1,"&lt;"&amp;'2. Мои данные'!B72)+COUNTIF(Выборка2,"&lt;"&amp;'2. Мои данные'!B72)+(COUNTIF(Выборка1,'2. Мои данные'!B72)+COUNTIF(Выборка2,'2. Мои данные'!B72)+1)/2)</f>
      </c>
      <c r="B121" s="8">
        <f>IF('2. Мои данные'!C72="",0,COUNTIF(Выборка1,"&lt;"&amp;'2. Мои данные'!C72)+COUNTIF(Выборка2,"&lt;"&amp;'2. Мои данные'!C72)+(COUNTIF(Выборка1,'2. Мои данные'!C72)+COUNTIF(Выборка2,'2. Мои данные'!C72)+1)/2)</f>
      </c>
      <c r="C121" s="8">
        <f>IF('2. Мои данные'!B72="","",COUNTIF(Выборка1,"&lt;"&amp;'2. Мои данные'!B72)+(COUNTIF(Выборка1,'2. Мои данные'!B72)+1)/2)</f>
      </c>
      <c r="D121" s="8">
        <f>IF('2. Мои данные'!C72="","",COUNTIF(Выборка2,"&lt;"&amp;'2. Мои данные'!C72)+(COUNTIF(Выборка2,'2. Мои данные'!C72)+1)/2)</f>
      </c>
      <c r="E121" s="8">
        <f>IF(OR('2. Мои данные'!B72="",'2. Мои данные'!C72=""),"",'2. Мои данные'!B72-'2. Мои данные'!C72)</f>
      </c>
      <c r="F121" s="8">
        <f>IF(OR('2. Мои данные'!B72="",'2. Мои данные'!C72=""),0,'2. Мои данные'!B72-'2. Мои данные'!C72)</f>
      </c>
      <c r="G121" s="8">
        <f>IF('23. Расчёты'!F121=0,"",ABS('23. Расчёты'!F121))</f>
      </c>
      <c r="H121" s="8">
        <f>IF('23. Расчёты'!F121=0,0,COUNTIF('23. Расчёты'!$G$61:$G$180,"&lt;"&amp;ABS('23. Расчёты'!F121))+(COUNTIF('23. Расчёты'!$G$61:$G$180,ABS('23. Расчёты'!F121))+1)/2)</f>
      </c>
    </row>
    <row r="122">
      <c r="A122" s="8">
        <f>IF('2. Мои данные'!B73="",0,COUNTIF(Выборка1,"&lt;"&amp;'2. Мои данные'!B73)+COUNTIF(Выборка2,"&lt;"&amp;'2. Мои данные'!B73)+(COUNTIF(Выборка1,'2. Мои данные'!B73)+COUNTIF(Выборка2,'2. Мои данные'!B73)+1)/2)</f>
      </c>
      <c r="B122" s="8">
        <f>IF('2. Мои данные'!C73="",0,COUNTIF(Выборка1,"&lt;"&amp;'2. Мои данные'!C73)+COUNTIF(Выборка2,"&lt;"&amp;'2. Мои данные'!C73)+(COUNTIF(Выборка1,'2. Мои данные'!C73)+COUNTIF(Выборка2,'2. Мои данные'!C73)+1)/2)</f>
      </c>
      <c r="C122" s="8">
        <f>IF('2. Мои данные'!B73="","",COUNTIF(Выборка1,"&lt;"&amp;'2. Мои данные'!B73)+(COUNTIF(Выборка1,'2. Мои данные'!B73)+1)/2)</f>
      </c>
      <c r="D122" s="8">
        <f>IF('2. Мои данные'!C73="","",COUNTIF(Выборка2,"&lt;"&amp;'2. Мои данные'!C73)+(COUNTIF(Выборка2,'2. Мои данные'!C73)+1)/2)</f>
      </c>
      <c r="E122" s="8">
        <f>IF(OR('2. Мои данные'!B73="",'2. Мои данные'!C73=""),"",'2. Мои данные'!B73-'2. Мои данные'!C73)</f>
      </c>
      <c r="F122" s="8">
        <f>IF(OR('2. Мои данные'!B73="",'2. Мои данные'!C73=""),0,'2. Мои данные'!B73-'2. Мои данные'!C73)</f>
      </c>
      <c r="G122" s="8">
        <f>IF('23. Расчёты'!F122=0,"",ABS('23. Расчёты'!F122))</f>
      </c>
      <c r="H122" s="8">
        <f>IF('23. Расчёты'!F122=0,0,COUNTIF('23. Расчёты'!$G$61:$G$180,"&lt;"&amp;ABS('23. Расчёты'!F122))+(COUNTIF('23. Расчёты'!$G$61:$G$180,ABS('23. Расчёты'!F122))+1)/2)</f>
      </c>
    </row>
    <row r="123">
      <c r="A123" s="8">
        <f>IF('2. Мои данные'!B74="",0,COUNTIF(Выборка1,"&lt;"&amp;'2. Мои данные'!B74)+COUNTIF(Выборка2,"&lt;"&amp;'2. Мои данные'!B74)+(COUNTIF(Выборка1,'2. Мои данные'!B74)+COUNTIF(Выборка2,'2. Мои данные'!B74)+1)/2)</f>
      </c>
      <c r="B123" s="8">
        <f>IF('2. Мои данные'!C74="",0,COUNTIF(Выборка1,"&lt;"&amp;'2. Мои данные'!C74)+COUNTIF(Выборка2,"&lt;"&amp;'2. Мои данные'!C74)+(COUNTIF(Выборка1,'2. Мои данные'!C74)+COUNTIF(Выборка2,'2. Мои данные'!C74)+1)/2)</f>
      </c>
      <c r="C123" s="8">
        <f>IF('2. Мои данные'!B74="","",COUNTIF(Выборка1,"&lt;"&amp;'2. Мои данные'!B74)+(COUNTIF(Выборка1,'2. Мои данные'!B74)+1)/2)</f>
      </c>
      <c r="D123" s="8">
        <f>IF('2. Мои данные'!C74="","",COUNTIF(Выборка2,"&lt;"&amp;'2. Мои данные'!C74)+(COUNTIF(Выборка2,'2. Мои данные'!C74)+1)/2)</f>
      </c>
      <c r="E123" s="8">
        <f>IF(OR('2. Мои данные'!B74="",'2. Мои данные'!C74=""),"",'2. Мои данные'!B74-'2. Мои данные'!C74)</f>
      </c>
      <c r="F123" s="8">
        <f>IF(OR('2. Мои данные'!B74="",'2. Мои данные'!C74=""),0,'2. Мои данные'!B74-'2. Мои данные'!C74)</f>
      </c>
      <c r="G123" s="8">
        <f>IF('23. Расчёты'!F123=0,"",ABS('23. Расчёты'!F123))</f>
      </c>
      <c r="H123" s="8">
        <f>IF('23. Расчёты'!F123=0,0,COUNTIF('23. Расчёты'!$G$61:$G$180,"&lt;"&amp;ABS('23. Расчёты'!F123))+(COUNTIF('23. Расчёты'!$G$61:$G$180,ABS('23. Расчёты'!F123))+1)/2)</f>
      </c>
    </row>
    <row r="124">
      <c r="A124" s="8">
        <f>IF('2. Мои данные'!B75="",0,COUNTIF(Выборка1,"&lt;"&amp;'2. Мои данные'!B75)+COUNTIF(Выборка2,"&lt;"&amp;'2. Мои данные'!B75)+(COUNTIF(Выборка1,'2. Мои данные'!B75)+COUNTIF(Выборка2,'2. Мои данные'!B75)+1)/2)</f>
      </c>
      <c r="B124" s="8">
        <f>IF('2. Мои данные'!C75="",0,COUNTIF(Выборка1,"&lt;"&amp;'2. Мои данные'!C75)+COUNTIF(Выборка2,"&lt;"&amp;'2. Мои данные'!C75)+(COUNTIF(Выборка1,'2. Мои данные'!C75)+COUNTIF(Выборка2,'2. Мои данные'!C75)+1)/2)</f>
      </c>
      <c r="C124" s="8">
        <f>IF('2. Мои данные'!B75="","",COUNTIF(Выборка1,"&lt;"&amp;'2. Мои данные'!B75)+(COUNTIF(Выборка1,'2. Мои данные'!B75)+1)/2)</f>
      </c>
      <c r="D124" s="8">
        <f>IF('2. Мои данные'!C75="","",COUNTIF(Выборка2,"&lt;"&amp;'2. Мои данные'!C75)+(COUNTIF(Выборка2,'2. Мои данные'!C75)+1)/2)</f>
      </c>
      <c r="E124" s="8">
        <f>IF(OR('2. Мои данные'!B75="",'2. Мои данные'!C75=""),"",'2. Мои данные'!B75-'2. Мои данные'!C75)</f>
      </c>
      <c r="F124" s="8">
        <f>IF(OR('2. Мои данные'!B75="",'2. Мои данные'!C75=""),0,'2. Мои данные'!B75-'2. Мои данные'!C75)</f>
      </c>
      <c r="G124" s="8">
        <f>IF('23. Расчёты'!F124=0,"",ABS('23. Расчёты'!F124))</f>
      </c>
      <c r="H124" s="8">
        <f>IF('23. Расчёты'!F124=0,0,COUNTIF('23. Расчёты'!$G$61:$G$180,"&lt;"&amp;ABS('23. Расчёты'!F124))+(COUNTIF('23. Расчёты'!$G$61:$G$180,ABS('23. Расчёты'!F124))+1)/2)</f>
      </c>
    </row>
    <row r="125">
      <c r="A125" s="8">
        <f>IF('2. Мои данные'!B76="",0,COUNTIF(Выборка1,"&lt;"&amp;'2. Мои данные'!B76)+COUNTIF(Выборка2,"&lt;"&amp;'2. Мои данные'!B76)+(COUNTIF(Выборка1,'2. Мои данные'!B76)+COUNTIF(Выборка2,'2. Мои данные'!B76)+1)/2)</f>
      </c>
      <c r="B125" s="8">
        <f>IF('2. Мои данные'!C76="",0,COUNTIF(Выборка1,"&lt;"&amp;'2. Мои данные'!C76)+COUNTIF(Выборка2,"&lt;"&amp;'2. Мои данные'!C76)+(COUNTIF(Выборка1,'2. Мои данные'!C76)+COUNTIF(Выборка2,'2. Мои данные'!C76)+1)/2)</f>
      </c>
      <c r="C125" s="8">
        <f>IF('2. Мои данные'!B76="","",COUNTIF(Выборка1,"&lt;"&amp;'2. Мои данные'!B76)+(COUNTIF(Выборка1,'2. Мои данные'!B76)+1)/2)</f>
      </c>
      <c r="D125" s="8">
        <f>IF('2. Мои данные'!C76="","",COUNTIF(Выборка2,"&lt;"&amp;'2. Мои данные'!C76)+(COUNTIF(Выборка2,'2. Мои данные'!C76)+1)/2)</f>
      </c>
      <c r="E125" s="8">
        <f>IF(OR('2. Мои данные'!B76="",'2. Мои данные'!C76=""),"",'2. Мои данные'!B76-'2. Мои данные'!C76)</f>
      </c>
      <c r="F125" s="8">
        <f>IF(OR('2. Мои данные'!B76="",'2. Мои данные'!C76=""),0,'2. Мои данные'!B76-'2. Мои данные'!C76)</f>
      </c>
      <c r="G125" s="8">
        <f>IF('23. Расчёты'!F125=0,"",ABS('23. Расчёты'!F125))</f>
      </c>
      <c r="H125" s="8">
        <f>IF('23. Расчёты'!F125=0,0,COUNTIF('23. Расчёты'!$G$61:$G$180,"&lt;"&amp;ABS('23. Расчёты'!F125))+(COUNTIF('23. Расчёты'!$G$61:$G$180,ABS('23. Расчёты'!F125))+1)/2)</f>
      </c>
    </row>
    <row r="126">
      <c r="A126" s="8">
        <f>IF('2. Мои данные'!B77="",0,COUNTIF(Выборка1,"&lt;"&amp;'2. Мои данные'!B77)+COUNTIF(Выборка2,"&lt;"&amp;'2. Мои данные'!B77)+(COUNTIF(Выборка1,'2. Мои данные'!B77)+COUNTIF(Выборка2,'2. Мои данные'!B77)+1)/2)</f>
      </c>
      <c r="B126" s="8">
        <f>IF('2. Мои данные'!C77="",0,COUNTIF(Выборка1,"&lt;"&amp;'2. Мои данные'!C77)+COUNTIF(Выборка2,"&lt;"&amp;'2. Мои данные'!C77)+(COUNTIF(Выборка1,'2. Мои данные'!C77)+COUNTIF(Выборка2,'2. Мои данные'!C77)+1)/2)</f>
      </c>
      <c r="C126" s="8">
        <f>IF('2. Мои данные'!B77="","",COUNTIF(Выборка1,"&lt;"&amp;'2. Мои данные'!B77)+(COUNTIF(Выборка1,'2. Мои данные'!B77)+1)/2)</f>
      </c>
      <c r="D126" s="8">
        <f>IF('2. Мои данные'!C77="","",COUNTIF(Выборка2,"&lt;"&amp;'2. Мои данные'!C77)+(COUNTIF(Выборка2,'2. Мои данные'!C77)+1)/2)</f>
      </c>
      <c r="E126" s="8">
        <f>IF(OR('2. Мои данные'!B77="",'2. Мои данные'!C77=""),"",'2. Мои данные'!B77-'2. Мои данные'!C77)</f>
      </c>
      <c r="F126" s="8">
        <f>IF(OR('2. Мои данные'!B77="",'2. Мои данные'!C77=""),0,'2. Мои данные'!B77-'2. Мои данные'!C77)</f>
      </c>
      <c r="G126" s="8">
        <f>IF('23. Расчёты'!F126=0,"",ABS('23. Расчёты'!F126))</f>
      </c>
      <c r="H126" s="8">
        <f>IF('23. Расчёты'!F126=0,0,COUNTIF('23. Расчёты'!$G$61:$G$180,"&lt;"&amp;ABS('23. Расчёты'!F126))+(COUNTIF('23. Расчёты'!$G$61:$G$180,ABS('23. Расчёты'!F126))+1)/2)</f>
      </c>
    </row>
    <row r="127">
      <c r="A127" s="8">
        <f>IF('2. Мои данные'!B78="",0,COUNTIF(Выборка1,"&lt;"&amp;'2. Мои данные'!B78)+COUNTIF(Выборка2,"&lt;"&amp;'2. Мои данные'!B78)+(COUNTIF(Выборка1,'2. Мои данные'!B78)+COUNTIF(Выборка2,'2. Мои данные'!B78)+1)/2)</f>
      </c>
      <c r="B127" s="8">
        <f>IF('2. Мои данные'!C78="",0,COUNTIF(Выборка1,"&lt;"&amp;'2. Мои данные'!C78)+COUNTIF(Выборка2,"&lt;"&amp;'2. Мои данные'!C78)+(COUNTIF(Выборка1,'2. Мои данные'!C78)+COUNTIF(Выборка2,'2. Мои данные'!C78)+1)/2)</f>
      </c>
      <c r="C127" s="8">
        <f>IF('2. Мои данные'!B78="","",COUNTIF(Выборка1,"&lt;"&amp;'2. Мои данные'!B78)+(COUNTIF(Выборка1,'2. Мои данные'!B78)+1)/2)</f>
      </c>
      <c r="D127" s="8">
        <f>IF('2. Мои данные'!C78="","",COUNTIF(Выборка2,"&lt;"&amp;'2. Мои данные'!C78)+(COUNTIF(Выборка2,'2. Мои данные'!C78)+1)/2)</f>
      </c>
      <c r="E127" s="8">
        <f>IF(OR('2. Мои данные'!B78="",'2. Мои данные'!C78=""),"",'2. Мои данные'!B78-'2. Мои данные'!C78)</f>
      </c>
      <c r="F127" s="8">
        <f>IF(OR('2. Мои данные'!B78="",'2. Мои данные'!C78=""),0,'2. Мои данные'!B78-'2. Мои данные'!C78)</f>
      </c>
      <c r="G127" s="8">
        <f>IF('23. Расчёты'!F127=0,"",ABS('23. Расчёты'!F127))</f>
      </c>
      <c r="H127" s="8">
        <f>IF('23. Расчёты'!F127=0,0,COUNTIF('23. Расчёты'!$G$61:$G$180,"&lt;"&amp;ABS('23. Расчёты'!F127))+(COUNTIF('23. Расчёты'!$G$61:$G$180,ABS('23. Расчёты'!F127))+1)/2)</f>
      </c>
    </row>
    <row r="128">
      <c r="A128" s="8">
        <f>IF('2. Мои данные'!B79="",0,COUNTIF(Выборка1,"&lt;"&amp;'2. Мои данные'!B79)+COUNTIF(Выборка2,"&lt;"&amp;'2. Мои данные'!B79)+(COUNTIF(Выборка1,'2. Мои данные'!B79)+COUNTIF(Выборка2,'2. Мои данные'!B79)+1)/2)</f>
      </c>
      <c r="B128" s="8">
        <f>IF('2. Мои данные'!C79="",0,COUNTIF(Выборка1,"&lt;"&amp;'2. Мои данные'!C79)+COUNTIF(Выборка2,"&lt;"&amp;'2. Мои данные'!C79)+(COUNTIF(Выборка1,'2. Мои данные'!C79)+COUNTIF(Выборка2,'2. Мои данные'!C79)+1)/2)</f>
      </c>
      <c r="C128" s="8">
        <f>IF('2. Мои данные'!B79="","",COUNTIF(Выборка1,"&lt;"&amp;'2. Мои данные'!B79)+(COUNTIF(Выборка1,'2. Мои данные'!B79)+1)/2)</f>
      </c>
      <c r="D128" s="8">
        <f>IF('2. Мои данные'!C79="","",COUNTIF(Выборка2,"&lt;"&amp;'2. Мои данные'!C79)+(COUNTIF(Выборка2,'2. Мои данные'!C79)+1)/2)</f>
      </c>
      <c r="E128" s="8">
        <f>IF(OR('2. Мои данные'!B79="",'2. Мои данные'!C79=""),"",'2. Мои данные'!B79-'2. Мои данные'!C79)</f>
      </c>
      <c r="F128" s="8">
        <f>IF(OR('2. Мои данные'!B79="",'2. Мои данные'!C79=""),0,'2. Мои данные'!B79-'2. Мои данные'!C79)</f>
      </c>
      <c r="G128" s="8">
        <f>IF('23. Расчёты'!F128=0,"",ABS('23. Расчёты'!F128))</f>
      </c>
      <c r="H128" s="8">
        <f>IF('23. Расчёты'!F128=0,0,COUNTIF('23. Расчёты'!$G$61:$G$180,"&lt;"&amp;ABS('23. Расчёты'!F128))+(COUNTIF('23. Расчёты'!$G$61:$G$180,ABS('23. Расчёты'!F128))+1)/2)</f>
      </c>
    </row>
    <row r="129">
      <c r="A129" s="8">
        <f>IF('2. Мои данные'!B80="",0,COUNTIF(Выборка1,"&lt;"&amp;'2. Мои данные'!B80)+COUNTIF(Выборка2,"&lt;"&amp;'2. Мои данные'!B80)+(COUNTIF(Выборка1,'2. Мои данные'!B80)+COUNTIF(Выборка2,'2. Мои данные'!B80)+1)/2)</f>
      </c>
      <c r="B129" s="8">
        <f>IF('2. Мои данные'!C80="",0,COUNTIF(Выборка1,"&lt;"&amp;'2. Мои данные'!C80)+COUNTIF(Выборка2,"&lt;"&amp;'2. Мои данные'!C80)+(COUNTIF(Выборка1,'2. Мои данные'!C80)+COUNTIF(Выборка2,'2. Мои данные'!C80)+1)/2)</f>
      </c>
      <c r="C129" s="8">
        <f>IF('2. Мои данные'!B80="","",COUNTIF(Выборка1,"&lt;"&amp;'2. Мои данные'!B80)+(COUNTIF(Выборка1,'2. Мои данные'!B80)+1)/2)</f>
      </c>
      <c r="D129" s="8">
        <f>IF('2. Мои данные'!C80="","",COUNTIF(Выборка2,"&lt;"&amp;'2. Мои данные'!C80)+(COUNTIF(Выборка2,'2. Мои данные'!C80)+1)/2)</f>
      </c>
      <c r="E129" s="8">
        <f>IF(OR('2. Мои данные'!B80="",'2. Мои данные'!C80=""),"",'2. Мои данные'!B80-'2. Мои данные'!C80)</f>
      </c>
      <c r="F129" s="8">
        <f>IF(OR('2. Мои данные'!B80="",'2. Мои данные'!C80=""),0,'2. Мои данные'!B80-'2. Мои данные'!C80)</f>
      </c>
      <c r="G129" s="8">
        <f>IF('23. Расчёты'!F129=0,"",ABS('23. Расчёты'!F129))</f>
      </c>
      <c r="H129" s="8">
        <f>IF('23. Расчёты'!F129=0,0,COUNTIF('23. Расчёты'!$G$61:$G$180,"&lt;"&amp;ABS('23. Расчёты'!F129))+(COUNTIF('23. Расчёты'!$G$61:$G$180,ABS('23. Расчёты'!F129))+1)/2)</f>
      </c>
    </row>
    <row r="130">
      <c r="A130" s="8">
        <f>IF('2. Мои данные'!B81="",0,COUNTIF(Выборка1,"&lt;"&amp;'2. Мои данные'!B81)+COUNTIF(Выборка2,"&lt;"&amp;'2. Мои данные'!B81)+(COUNTIF(Выборка1,'2. Мои данные'!B81)+COUNTIF(Выборка2,'2. Мои данные'!B81)+1)/2)</f>
      </c>
      <c r="B130" s="8">
        <f>IF('2. Мои данные'!C81="",0,COUNTIF(Выборка1,"&lt;"&amp;'2. Мои данные'!C81)+COUNTIF(Выборка2,"&lt;"&amp;'2. Мои данные'!C81)+(COUNTIF(Выборка1,'2. Мои данные'!C81)+COUNTIF(Выборка2,'2. Мои данные'!C81)+1)/2)</f>
      </c>
      <c r="C130" s="8">
        <f>IF('2. Мои данные'!B81="","",COUNTIF(Выборка1,"&lt;"&amp;'2. Мои данные'!B81)+(COUNTIF(Выборка1,'2. Мои данные'!B81)+1)/2)</f>
      </c>
      <c r="D130" s="8">
        <f>IF('2. Мои данные'!C81="","",COUNTIF(Выборка2,"&lt;"&amp;'2. Мои данные'!C81)+(COUNTIF(Выборка2,'2. Мои данные'!C81)+1)/2)</f>
      </c>
      <c r="E130" s="8">
        <f>IF(OR('2. Мои данные'!B81="",'2. Мои данные'!C81=""),"",'2. Мои данные'!B81-'2. Мои данные'!C81)</f>
      </c>
      <c r="F130" s="8">
        <f>IF(OR('2. Мои данные'!B81="",'2. Мои данные'!C81=""),0,'2. Мои данные'!B81-'2. Мои данные'!C81)</f>
      </c>
      <c r="G130" s="8">
        <f>IF('23. Расчёты'!F130=0,"",ABS('23. Расчёты'!F130))</f>
      </c>
      <c r="H130" s="8">
        <f>IF('23. Расчёты'!F130=0,0,COUNTIF('23. Расчёты'!$G$61:$G$180,"&lt;"&amp;ABS('23. Расчёты'!F130))+(COUNTIF('23. Расчёты'!$G$61:$G$180,ABS('23. Расчёты'!F130))+1)/2)</f>
      </c>
    </row>
    <row r="131">
      <c r="A131" s="8">
        <f>IF('2. Мои данные'!B82="",0,COUNTIF(Выборка1,"&lt;"&amp;'2. Мои данные'!B82)+COUNTIF(Выборка2,"&lt;"&amp;'2. Мои данные'!B82)+(COUNTIF(Выборка1,'2. Мои данные'!B82)+COUNTIF(Выборка2,'2. Мои данные'!B82)+1)/2)</f>
      </c>
      <c r="B131" s="8">
        <f>IF('2. Мои данные'!C82="",0,COUNTIF(Выборка1,"&lt;"&amp;'2. Мои данные'!C82)+COUNTIF(Выборка2,"&lt;"&amp;'2. Мои данные'!C82)+(COUNTIF(Выборка1,'2. Мои данные'!C82)+COUNTIF(Выборка2,'2. Мои данные'!C82)+1)/2)</f>
      </c>
      <c r="C131" s="8">
        <f>IF('2. Мои данные'!B82="","",COUNTIF(Выборка1,"&lt;"&amp;'2. Мои данные'!B82)+(COUNTIF(Выборка1,'2. Мои данные'!B82)+1)/2)</f>
      </c>
      <c r="D131" s="8">
        <f>IF('2. Мои данные'!C82="","",COUNTIF(Выборка2,"&lt;"&amp;'2. Мои данные'!C82)+(COUNTIF(Выборка2,'2. Мои данные'!C82)+1)/2)</f>
      </c>
      <c r="E131" s="8">
        <f>IF(OR('2. Мои данные'!B82="",'2. Мои данные'!C82=""),"",'2. Мои данные'!B82-'2. Мои данные'!C82)</f>
      </c>
      <c r="F131" s="8">
        <f>IF(OR('2. Мои данные'!B82="",'2. Мои данные'!C82=""),0,'2. Мои данные'!B82-'2. Мои данные'!C82)</f>
      </c>
      <c r="G131" s="8">
        <f>IF('23. Расчёты'!F131=0,"",ABS('23. Расчёты'!F131))</f>
      </c>
      <c r="H131" s="8">
        <f>IF('23. Расчёты'!F131=0,0,COUNTIF('23. Расчёты'!$G$61:$G$180,"&lt;"&amp;ABS('23. Расчёты'!F131))+(COUNTIF('23. Расчёты'!$G$61:$G$180,ABS('23. Расчёты'!F131))+1)/2)</f>
      </c>
    </row>
    <row r="132">
      <c r="A132" s="8">
        <f>IF('2. Мои данные'!B83="",0,COUNTIF(Выборка1,"&lt;"&amp;'2. Мои данные'!B83)+COUNTIF(Выборка2,"&lt;"&amp;'2. Мои данные'!B83)+(COUNTIF(Выборка1,'2. Мои данные'!B83)+COUNTIF(Выборка2,'2. Мои данные'!B83)+1)/2)</f>
      </c>
      <c r="B132" s="8">
        <f>IF('2. Мои данные'!C83="",0,COUNTIF(Выборка1,"&lt;"&amp;'2. Мои данные'!C83)+COUNTIF(Выборка2,"&lt;"&amp;'2. Мои данные'!C83)+(COUNTIF(Выборка1,'2. Мои данные'!C83)+COUNTIF(Выборка2,'2. Мои данные'!C83)+1)/2)</f>
      </c>
      <c r="C132" s="8">
        <f>IF('2. Мои данные'!B83="","",COUNTIF(Выборка1,"&lt;"&amp;'2. Мои данные'!B83)+(COUNTIF(Выборка1,'2. Мои данные'!B83)+1)/2)</f>
      </c>
      <c r="D132" s="8">
        <f>IF('2. Мои данные'!C83="","",COUNTIF(Выборка2,"&lt;"&amp;'2. Мои данные'!C83)+(COUNTIF(Выборка2,'2. Мои данные'!C83)+1)/2)</f>
      </c>
      <c r="E132" s="8">
        <f>IF(OR('2. Мои данные'!B83="",'2. Мои данные'!C83=""),"",'2. Мои данные'!B83-'2. Мои данные'!C83)</f>
      </c>
      <c r="F132" s="8">
        <f>IF(OR('2. Мои данные'!B83="",'2. Мои данные'!C83=""),0,'2. Мои данные'!B83-'2. Мои данные'!C83)</f>
      </c>
      <c r="G132" s="8">
        <f>IF('23. Расчёты'!F132=0,"",ABS('23. Расчёты'!F132))</f>
      </c>
      <c r="H132" s="8">
        <f>IF('23. Расчёты'!F132=0,0,COUNTIF('23. Расчёты'!$G$61:$G$180,"&lt;"&amp;ABS('23. Расчёты'!F132))+(COUNTIF('23. Расчёты'!$G$61:$G$180,ABS('23. Расчёты'!F132))+1)/2)</f>
      </c>
    </row>
    <row r="133">
      <c r="A133" s="8">
        <f>IF('2. Мои данные'!B84="",0,COUNTIF(Выборка1,"&lt;"&amp;'2. Мои данные'!B84)+COUNTIF(Выборка2,"&lt;"&amp;'2. Мои данные'!B84)+(COUNTIF(Выборка1,'2. Мои данные'!B84)+COUNTIF(Выборка2,'2. Мои данные'!B84)+1)/2)</f>
      </c>
      <c r="B133" s="8">
        <f>IF('2. Мои данные'!C84="",0,COUNTIF(Выборка1,"&lt;"&amp;'2. Мои данные'!C84)+COUNTIF(Выборка2,"&lt;"&amp;'2. Мои данные'!C84)+(COUNTIF(Выборка1,'2. Мои данные'!C84)+COUNTIF(Выборка2,'2. Мои данные'!C84)+1)/2)</f>
      </c>
      <c r="C133" s="8">
        <f>IF('2. Мои данные'!B84="","",COUNTIF(Выборка1,"&lt;"&amp;'2. Мои данные'!B84)+(COUNTIF(Выборка1,'2. Мои данные'!B84)+1)/2)</f>
      </c>
      <c r="D133" s="8">
        <f>IF('2. Мои данные'!C84="","",COUNTIF(Выборка2,"&lt;"&amp;'2. Мои данные'!C84)+(COUNTIF(Выборка2,'2. Мои данные'!C84)+1)/2)</f>
      </c>
      <c r="E133" s="8">
        <f>IF(OR('2. Мои данные'!B84="",'2. Мои данные'!C84=""),"",'2. Мои данные'!B84-'2. Мои данные'!C84)</f>
      </c>
      <c r="F133" s="8">
        <f>IF(OR('2. Мои данные'!B84="",'2. Мои данные'!C84=""),0,'2. Мои данные'!B84-'2. Мои данные'!C84)</f>
      </c>
      <c r="G133" s="8">
        <f>IF('23. Расчёты'!F133=0,"",ABS('23. Расчёты'!F133))</f>
      </c>
      <c r="H133" s="8">
        <f>IF('23. Расчёты'!F133=0,0,COUNTIF('23. Расчёты'!$G$61:$G$180,"&lt;"&amp;ABS('23. Расчёты'!F133))+(COUNTIF('23. Расчёты'!$G$61:$G$180,ABS('23. Расчёты'!F133))+1)/2)</f>
      </c>
    </row>
    <row r="134">
      <c r="A134" s="8">
        <f>IF('2. Мои данные'!B85="",0,COUNTIF(Выборка1,"&lt;"&amp;'2. Мои данные'!B85)+COUNTIF(Выборка2,"&lt;"&amp;'2. Мои данные'!B85)+(COUNTIF(Выборка1,'2. Мои данные'!B85)+COUNTIF(Выборка2,'2. Мои данные'!B85)+1)/2)</f>
      </c>
      <c r="B134" s="8">
        <f>IF('2. Мои данные'!C85="",0,COUNTIF(Выборка1,"&lt;"&amp;'2. Мои данные'!C85)+COUNTIF(Выборка2,"&lt;"&amp;'2. Мои данные'!C85)+(COUNTIF(Выборка1,'2. Мои данные'!C85)+COUNTIF(Выборка2,'2. Мои данные'!C85)+1)/2)</f>
      </c>
      <c r="C134" s="8">
        <f>IF('2. Мои данные'!B85="","",COUNTIF(Выборка1,"&lt;"&amp;'2. Мои данные'!B85)+(COUNTIF(Выборка1,'2. Мои данные'!B85)+1)/2)</f>
      </c>
      <c r="D134" s="8">
        <f>IF('2. Мои данные'!C85="","",COUNTIF(Выборка2,"&lt;"&amp;'2. Мои данные'!C85)+(COUNTIF(Выборка2,'2. Мои данные'!C85)+1)/2)</f>
      </c>
      <c r="E134" s="8">
        <f>IF(OR('2. Мои данные'!B85="",'2. Мои данные'!C85=""),"",'2. Мои данные'!B85-'2. Мои данные'!C85)</f>
      </c>
      <c r="F134" s="8">
        <f>IF(OR('2. Мои данные'!B85="",'2. Мои данные'!C85=""),0,'2. Мои данные'!B85-'2. Мои данные'!C85)</f>
      </c>
      <c r="G134" s="8">
        <f>IF('23. Расчёты'!F134=0,"",ABS('23. Расчёты'!F134))</f>
      </c>
      <c r="H134" s="8">
        <f>IF('23. Расчёты'!F134=0,0,COUNTIF('23. Расчёты'!$G$61:$G$180,"&lt;"&amp;ABS('23. Расчёты'!F134))+(COUNTIF('23. Расчёты'!$G$61:$G$180,ABS('23. Расчёты'!F134))+1)/2)</f>
      </c>
    </row>
    <row r="135">
      <c r="A135" s="8">
        <f>IF('2. Мои данные'!B86="",0,COUNTIF(Выборка1,"&lt;"&amp;'2. Мои данные'!B86)+COUNTIF(Выборка2,"&lt;"&amp;'2. Мои данные'!B86)+(COUNTIF(Выборка1,'2. Мои данные'!B86)+COUNTIF(Выборка2,'2. Мои данные'!B86)+1)/2)</f>
      </c>
      <c r="B135" s="8">
        <f>IF('2. Мои данные'!C86="",0,COUNTIF(Выборка1,"&lt;"&amp;'2. Мои данные'!C86)+COUNTIF(Выборка2,"&lt;"&amp;'2. Мои данные'!C86)+(COUNTIF(Выборка1,'2. Мои данные'!C86)+COUNTIF(Выборка2,'2. Мои данные'!C86)+1)/2)</f>
      </c>
      <c r="C135" s="8">
        <f>IF('2. Мои данные'!B86="","",COUNTIF(Выборка1,"&lt;"&amp;'2. Мои данные'!B86)+(COUNTIF(Выборка1,'2. Мои данные'!B86)+1)/2)</f>
      </c>
      <c r="D135" s="8">
        <f>IF('2. Мои данные'!C86="","",COUNTIF(Выборка2,"&lt;"&amp;'2. Мои данные'!C86)+(COUNTIF(Выборка2,'2. Мои данные'!C86)+1)/2)</f>
      </c>
      <c r="E135" s="8">
        <f>IF(OR('2. Мои данные'!B86="",'2. Мои данные'!C86=""),"",'2. Мои данные'!B86-'2. Мои данные'!C86)</f>
      </c>
      <c r="F135" s="8">
        <f>IF(OR('2. Мои данные'!B86="",'2. Мои данные'!C86=""),0,'2. Мои данные'!B86-'2. Мои данные'!C86)</f>
      </c>
      <c r="G135" s="8">
        <f>IF('23. Расчёты'!F135=0,"",ABS('23. Расчёты'!F135))</f>
      </c>
      <c r="H135" s="8">
        <f>IF('23. Расчёты'!F135=0,0,COUNTIF('23. Расчёты'!$G$61:$G$180,"&lt;"&amp;ABS('23. Расчёты'!F135))+(COUNTIF('23. Расчёты'!$G$61:$G$180,ABS('23. Расчёты'!F135))+1)/2)</f>
      </c>
    </row>
    <row r="136">
      <c r="A136" s="8">
        <f>IF('2. Мои данные'!B87="",0,COUNTIF(Выборка1,"&lt;"&amp;'2. Мои данные'!B87)+COUNTIF(Выборка2,"&lt;"&amp;'2. Мои данные'!B87)+(COUNTIF(Выборка1,'2. Мои данные'!B87)+COUNTIF(Выборка2,'2. Мои данные'!B87)+1)/2)</f>
      </c>
      <c r="B136" s="8">
        <f>IF('2. Мои данные'!C87="",0,COUNTIF(Выборка1,"&lt;"&amp;'2. Мои данные'!C87)+COUNTIF(Выборка2,"&lt;"&amp;'2. Мои данные'!C87)+(COUNTIF(Выборка1,'2. Мои данные'!C87)+COUNTIF(Выборка2,'2. Мои данные'!C87)+1)/2)</f>
      </c>
      <c r="C136" s="8">
        <f>IF('2. Мои данные'!B87="","",COUNTIF(Выборка1,"&lt;"&amp;'2. Мои данные'!B87)+(COUNTIF(Выборка1,'2. Мои данные'!B87)+1)/2)</f>
      </c>
      <c r="D136" s="8">
        <f>IF('2. Мои данные'!C87="","",COUNTIF(Выборка2,"&lt;"&amp;'2. Мои данные'!C87)+(COUNTIF(Выборка2,'2. Мои данные'!C87)+1)/2)</f>
      </c>
      <c r="E136" s="8">
        <f>IF(OR('2. Мои данные'!B87="",'2. Мои данные'!C87=""),"",'2. Мои данные'!B87-'2. Мои данные'!C87)</f>
      </c>
      <c r="F136" s="8">
        <f>IF(OR('2. Мои данные'!B87="",'2. Мои данные'!C87=""),0,'2. Мои данные'!B87-'2. Мои данные'!C87)</f>
      </c>
      <c r="G136" s="8">
        <f>IF('23. Расчёты'!F136=0,"",ABS('23. Расчёты'!F136))</f>
      </c>
      <c r="H136" s="8">
        <f>IF('23. Расчёты'!F136=0,0,COUNTIF('23. Расчёты'!$G$61:$G$180,"&lt;"&amp;ABS('23. Расчёты'!F136))+(COUNTIF('23. Расчёты'!$G$61:$G$180,ABS('23. Расчёты'!F136))+1)/2)</f>
      </c>
    </row>
    <row r="137">
      <c r="A137" s="8">
        <f>IF('2. Мои данные'!B88="",0,COUNTIF(Выборка1,"&lt;"&amp;'2. Мои данные'!B88)+COUNTIF(Выборка2,"&lt;"&amp;'2. Мои данные'!B88)+(COUNTIF(Выборка1,'2. Мои данные'!B88)+COUNTIF(Выборка2,'2. Мои данные'!B88)+1)/2)</f>
      </c>
      <c r="B137" s="8">
        <f>IF('2. Мои данные'!C88="",0,COUNTIF(Выборка1,"&lt;"&amp;'2. Мои данные'!C88)+COUNTIF(Выборка2,"&lt;"&amp;'2. Мои данные'!C88)+(COUNTIF(Выборка1,'2. Мои данные'!C88)+COUNTIF(Выборка2,'2. Мои данные'!C88)+1)/2)</f>
      </c>
      <c r="C137" s="8">
        <f>IF('2. Мои данные'!B88="","",COUNTIF(Выборка1,"&lt;"&amp;'2. Мои данные'!B88)+(COUNTIF(Выборка1,'2. Мои данные'!B88)+1)/2)</f>
      </c>
      <c r="D137" s="8">
        <f>IF('2. Мои данные'!C88="","",COUNTIF(Выборка2,"&lt;"&amp;'2. Мои данные'!C88)+(COUNTIF(Выборка2,'2. Мои данные'!C88)+1)/2)</f>
      </c>
      <c r="E137" s="8">
        <f>IF(OR('2. Мои данные'!B88="",'2. Мои данные'!C88=""),"",'2. Мои данные'!B88-'2. Мои данные'!C88)</f>
      </c>
      <c r="F137" s="8">
        <f>IF(OR('2. Мои данные'!B88="",'2. Мои данные'!C88=""),0,'2. Мои данные'!B88-'2. Мои данные'!C88)</f>
      </c>
      <c r="G137" s="8">
        <f>IF('23. Расчёты'!F137=0,"",ABS('23. Расчёты'!F137))</f>
      </c>
      <c r="H137" s="8">
        <f>IF('23. Расчёты'!F137=0,0,COUNTIF('23. Расчёты'!$G$61:$G$180,"&lt;"&amp;ABS('23. Расчёты'!F137))+(COUNTIF('23. Расчёты'!$G$61:$G$180,ABS('23. Расчёты'!F137))+1)/2)</f>
      </c>
    </row>
    <row r="138">
      <c r="A138" s="8">
        <f>IF('2. Мои данные'!B89="",0,COUNTIF(Выборка1,"&lt;"&amp;'2. Мои данные'!B89)+COUNTIF(Выборка2,"&lt;"&amp;'2. Мои данные'!B89)+(COUNTIF(Выборка1,'2. Мои данные'!B89)+COUNTIF(Выборка2,'2. Мои данные'!B89)+1)/2)</f>
      </c>
      <c r="B138" s="8">
        <f>IF('2. Мои данные'!C89="",0,COUNTIF(Выборка1,"&lt;"&amp;'2. Мои данные'!C89)+COUNTIF(Выборка2,"&lt;"&amp;'2. Мои данные'!C89)+(COUNTIF(Выборка1,'2. Мои данные'!C89)+COUNTIF(Выборка2,'2. Мои данные'!C89)+1)/2)</f>
      </c>
      <c r="C138" s="8">
        <f>IF('2. Мои данные'!B89="","",COUNTIF(Выборка1,"&lt;"&amp;'2. Мои данные'!B89)+(COUNTIF(Выборка1,'2. Мои данные'!B89)+1)/2)</f>
      </c>
      <c r="D138" s="8">
        <f>IF('2. Мои данные'!C89="","",COUNTIF(Выборка2,"&lt;"&amp;'2. Мои данные'!C89)+(COUNTIF(Выборка2,'2. Мои данные'!C89)+1)/2)</f>
      </c>
      <c r="E138" s="8">
        <f>IF(OR('2. Мои данные'!B89="",'2. Мои данные'!C89=""),"",'2. Мои данные'!B89-'2. Мои данные'!C89)</f>
      </c>
      <c r="F138" s="8">
        <f>IF(OR('2. Мои данные'!B89="",'2. Мои данные'!C89=""),0,'2. Мои данные'!B89-'2. Мои данные'!C89)</f>
      </c>
      <c r="G138" s="8">
        <f>IF('23. Расчёты'!F138=0,"",ABS('23. Расчёты'!F138))</f>
      </c>
      <c r="H138" s="8">
        <f>IF('23. Расчёты'!F138=0,0,COUNTIF('23. Расчёты'!$G$61:$G$180,"&lt;"&amp;ABS('23. Расчёты'!F138))+(COUNTIF('23. Расчёты'!$G$61:$G$180,ABS('23. Расчёты'!F138))+1)/2)</f>
      </c>
    </row>
    <row r="139">
      <c r="A139" s="8">
        <f>IF('2. Мои данные'!B90="",0,COUNTIF(Выборка1,"&lt;"&amp;'2. Мои данные'!B90)+COUNTIF(Выборка2,"&lt;"&amp;'2. Мои данные'!B90)+(COUNTIF(Выборка1,'2. Мои данные'!B90)+COUNTIF(Выборка2,'2. Мои данные'!B90)+1)/2)</f>
      </c>
      <c r="B139" s="8">
        <f>IF('2. Мои данные'!C90="",0,COUNTIF(Выборка1,"&lt;"&amp;'2. Мои данные'!C90)+COUNTIF(Выборка2,"&lt;"&amp;'2. Мои данные'!C90)+(COUNTIF(Выборка1,'2. Мои данные'!C90)+COUNTIF(Выборка2,'2. Мои данные'!C90)+1)/2)</f>
      </c>
      <c r="C139" s="8">
        <f>IF('2. Мои данные'!B90="","",COUNTIF(Выборка1,"&lt;"&amp;'2. Мои данные'!B90)+(COUNTIF(Выборка1,'2. Мои данные'!B90)+1)/2)</f>
      </c>
      <c r="D139" s="8">
        <f>IF('2. Мои данные'!C90="","",COUNTIF(Выборка2,"&lt;"&amp;'2. Мои данные'!C90)+(COUNTIF(Выборка2,'2. Мои данные'!C90)+1)/2)</f>
      </c>
      <c r="E139" s="8">
        <f>IF(OR('2. Мои данные'!B90="",'2. Мои данные'!C90=""),"",'2. Мои данные'!B90-'2. Мои данные'!C90)</f>
      </c>
      <c r="F139" s="8">
        <f>IF(OR('2. Мои данные'!B90="",'2. Мои данные'!C90=""),0,'2. Мои данные'!B90-'2. Мои данные'!C90)</f>
      </c>
      <c r="G139" s="8">
        <f>IF('23. Расчёты'!F139=0,"",ABS('23. Расчёты'!F139))</f>
      </c>
      <c r="H139" s="8">
        <f>IF('23. Расчёты'!F139=0,0,COUNTIF('23. Расчёты'!$G$61:$G$180,"&lt;"&amp;ABS('23. Расчёты'!F139))+(COUNTIF('23. Расчёты'!$G$61:$G$180,ABS('23. Расчёты'!F139))+1)/2)</f>
      </c>
    </row>
    <row r="140">
      <c r="A140" s="8">
        <f>IF('2. Мои данные'!B91="",0,COUNTIF(Выборка1,"&lt;"&amp;'2. Мои данные'!B91)+COUNTIF(Выборка2,"&lt;"&amp;'2. Мои данные'!B91)+(COUNTIF(Выборка1,'2. Мои данные'!B91)+COUNTIF(Выборка2,'2. Мои данные'!B91)+1)/2)</f>
      </c>
      <c r="B140" s="8">
        <f>IF('2. Мои данные'!C91="",0,COUNTIF(Выборка1,"&lt;"&amp;'2. Мои данные'!C91)+COUNTIF(Выборка2,"&lt;"&amp;'2. Мои данные'!C91)+(COUNTIF(Выборка1,'2. Мои данные'!C91)+COUNTIF(Выборка2,'2. Мои данные'!C91)+1)/2)</f>
      </c>
      <c r="C140" s="8">
        <f>IF('2. Мои данные'!B91="","",COUNTIF(Выборка1,"&lt;"&amp;'2. Мои данные'!B91)+(COUNTIF(Выборка1,'2. Мои данные'!B91)+1)/2)</f>
      </c>
      <c r="D140" s="8">
        <f>IF('2. Мои данные'!C91="","",COUNTIF(Выборка2,"&lt;"&amp;'2. Мои данные'!C91)+(COUNTIF(Выборка2,'2. Мои данные'!C91)+1)/2)</f>
      </c>
      <c r="E140" s="8">
        <f>IF(OR('2. Мои данные'!B91="",'2. Мои данные'!C91=""),"",'2. Мои данные'!B91-'2. Мои данные'!C91)</f>
      </c>
      <c r="F140" s="8">
        <f>IF(OR('2. Мои данные'!B91="",'2. Мои данные'!C91=""),0,'2. Мои данные'!B91-'2. Мои данные'!C91)</f>
      </c>
      <c r="G140" s="8">
        <f>IF('23. Расчёты'!F140=0,"",ABS('23. Расчёты'!F140))</f>
      </c>
      <c r="H140" s="8">
        <f>IF('23. Расчёты'!F140=0,0,COUNTIF('23. Расчёты'!$G$61:$G$180,"&lt;"&amp;ABS('23. Расчёты'!F140))+(COUNTIF('23. Расчёты'!$G$61:$G$180,ABS('23. Расчёты'!F140))+1)/2)</f>
      </c>
    </row>
    <row r="141">
      <c r="A141" s="8">
        <f>IF('2. Мои данные'!B92="",0,COUNTIF(Выборка1,"&lt;"&amp;'2. Мои данные'!B92)+COUNTIF(Выборка2,"&lt;"&amp;'2. Мои данные'!B92)+(COUNTIF(Выборка1,'2. Мои данные'!B92)+COUNTIF(Выборка2,'2. Мои данные'!B92)+1)/2)</f>
      </c>
      <c r="B141" s="8">
        <f>IF('2. Мои данные'!C92="",0,COUNTIF(Выборка1,"&lt;"&amp;'2. Мои данные'!C92)+COUNTIF(Выборка2,"&lt;"&amp;'2. Мои данные'!C92)+(COUNTIF(Выборка1,'2. Мои данные'!C92)+COUNTIF(Выборка2,'2. Мои данные'!C92)+1)/2)</f>
      </c>
      <c r="C141" s="8">
        <f>IF('2. Мои данные'!B92="","",COUNTIF(Выборка1,"&lt;"&amp;'2. Мои данные'!B92)+(COUNTIF(Выборка1,'2. Мои данные'!B92)+1)/2)</f>
      </c>
      <c r="D141" s="8">
        <f>IF('2. Мои данные'!C92="","",COUNTIF(Выборка2,"&lt;"&amp;'2. Мои данные'!C92)+(COUNTIF(Выборка2,'2. Мои данные'!C92)+1)/2)</f>
      </c>
      <c r="E141" s="8">
        <f>IF(OR('2. Мои данные'!B92="",'2. Мои данные'!C92=""),"",'2. Мои данные'!B92-'2. Мои данные'!C92)</f>
      </c>
      <c r="F141" s="8">
        <f>IF(OR('2. Мои данные'!B92="",'2. Мои данные'!C92=""),0,'2. Мои данные'!B92-'2. Мои данные'!C92)</f>
      </c>
      <c r="G141" s="8">
        <f>IF('23. Расчёты'!F141=0,"",ABS('23. Расчёты'!F141))</f>
      </c>
      <c r="H141" s="8">
        <f>IF('23. Расчёты'!F141=0,0,COUNTIF('23. Расчёты'!$G$61:$G$180,"&lt;"&amp;ABS('23. Расчёты'!F141))+(COUNTIF('23. Расчёты'!$G$61:$G$180,ABS('23. Расчёты'!F141))+1)/2)</f>
      </c>
    </row>
    <row r="142">
      <c r="A142" s="8">
        <f>IF('2. Мои данные'!B93="",0,COUNTIF(Выборка1,"&lt;"&amp;'2. Мои данные'!B93)+COUNTIF(Выборка2,"&lt;"&amp;'2. Мои данные'!B93)+(COUNTIF(Выборка1,'2. Мои данные'!B93)+COUNTIF(Выборка2,'2. Мои данные'!B93)+1)/2)</f>
      </c>
      <c r="B142" s="8">
        <f>IF('2. Мои данные'!C93="",0,COUNTIF(Выборка1,"&lt;"&amp;'2. Мои данные'!C93)+COUNTIF(Выборка2,"&lt;"&amp;'2. Мои данные'!C93)+(COUNTIF(Выборка1,'2. Мои данные'!C93)+COUNTIF(Выборка2,'2. Мои данные'!C93)+1)/2)</f>
      </c>
      <c r="C142" s="8">
        <f>IF('2. Мои данные'!B93="","",COUNTIF(Выборка1,"&lt;"&amp;'2. Мои данные'!B93)+(COUNTIF(Выборка1,'2. Мои данные'!B93)+1)/2)</f>
      </c>
      <c r="D142" s="8">
        <f>IF('2. Мои данные'!C93="","",COUNTIF(Выборка2,"&lt;"&amp;'2. Мои данные'!C93)+(COUNTIF(Выборка2,'2. Мои данные'!C93)+1)/2)</f>
      </c>
      <c r="E142" s="8">
        <f>IF(OR('2. Мои данные'!B93="",'2. Мои данные'!C93=""),"",'2. Мои данные'!B93-'2. Мои данные'!C93)</f>
      </c>
      <c r="F142" s="8">
        <f>IF(OR('2. Мои данные'!B93="",'2. Мои данные'!C93=""),0,'2. Мои данные'!B93-'2. Мои данные'!C93)</f>
      </c>
      <c r="G142" s="8">
        <f>IF('23. Расчёты'!F142=0,"",ABS('23. Расчёты'!F142))</f>
      </c>
      <c r="H142" s="8">
        <f>IF('23. Расчёты'!F142=0,0,COUNTIF('23. Расчёты'!$G$61:$G$180,"&lt;"&amp;ABS('23. Расчёты'!F142))+(COUNTIF('23. Расчёты'!$G$61:$G$180,ABS('23. Расчёты'!F142))+1)/2)</f>
      </c>
    </row>
    <row r="143">
      <c r="A143" s="8">
        <f>IF('2. Мои данные'!B94="",0,COUNTIF(Выборка1,"&lt;"&amp;'2. Мои данные'!B94)+COUNTIF(Выборка2,"&lt;"&amp;'2. Мои данные'!B94)+(COUNTIF(Выборка1,'2. Мои данные'!B94)+COUNTIF(Выборка2,'2. Мои данные'!B94)+1)/2)</f>
      </c>
      <c r="B143" s="8">
        <f>IF('2. Мои данные'!C94="",0,COUNTIF(Выборка1,"&lt;"&amp;'2. Мои данные'!C94)+COUNTIF(Выборка2,"&lt;"&amp;'2. Мои данные'!C94)+(COUNTIF(Выборка1,'2. Мои данные'!C94)+COUNTIF(Выборка2,'2. Мои данные'!C94)+1)/2)</f>
      </c>
      <c r="C143" s="8">
        <f>IF('2. Мои данные'!B94="","",COUNTIF(Выборка1,"&lt;"&amp;'2. Мои данные'!B94)+(COUNTIF(Выборка1,'2. Мои данные'!B94)+1)/2)</f>
      </c>
      <c r="D143" s="8">
        <f>IF('2. Мои данные'!C94="","",COUNTIF(Выборка2,"&lt;"&amp;'2. Мои данные'!C94)+(COUNTIF(Выборка2,'2. Мои данные'!C94)+1)/2)</f>
      </c>
      <c r="E143" s="8">
        <f>IF(OR('2. Мои данные'!B94="",'2. Мои данные'!C94=""),"",'2. Мои данные'!B94-'2. Мои данные'!C94)</f>
      </c>
      <c r="F143" s="8">
        <f>IF(OR('2. Мои данные'!B94="",'2. Мои данные'!C94=""),0,'2. Мои данные'!B94-'2. Мои данные'!C94)</f>
      </c>
      <c r="G143" s="8">
        <f>IF('23. Расчёты'!F143=0,"",ABS('23. Расчёты'!F143))</f>
      </c>
      <c r="H143" s="8">
        <f>IF('23. Расчёты'!F143=0,0,COUNTIF('23. Расчёты'!$G$61:$G$180,"&lt;"&amp;ABS('23. Расчёты'!F143))+(COUNTIF('23. Расчёты'!$G$61:$G$180,ABS('23. Расчёты'!F143))+1)/2)</f>
      </c>
    </row>
    <row r="144">
      <c r="A144" s="8">
        <f>IF('2. Мои данные'!B95="",0,COUNTIF(Выборка1,"&lt;"&amp;'2. Мои данные'!B95)+COUNTIF(Выборка2,"&lt;"&amp;'2. Мои данные'!B95)+(COUNTIF(Выборка1,'2. Мои данные'!B95)+COUNTIF(Выборка2,'2. Мои данные'!B95)+1)/2)</f>
      </c>
      <c r="B144" s="8">
        <f>IF('2. Мои данные'!C95="",0,COUNTIF(Выборка1,"&lt;"&amp;'2. Мои данные'!C95)+COUNTIF(Выборка2,"&lt;"&amp;'2. Мои данные'!C95)+(COUNTIF(Выборка1,'2. Мои данные'!C95)+COUNTIF(Выборка2,'2. Мои данные'!C95)+1)/2)</f>
      </c>
      <c r="C144" s="8">
        <f>IF('2. Мои данные'!B95="","",COUNTIF(Выборка1,"&lt;"&amp;'2. Мои данные'!B95)+(COUNTIF(Выборка1,'2. Мои данные'!B95)+1)/2)</f>
      </c>
      <c r="D144" s="8">
        <f>IF('2. Мои данные'!C95="","",COUNTIF(Выборка2,"&lt;"&amp;'2. Мои данные'!C95)+(COUNTIF(Выборка2,'2. Мои данные'!C95)+1)/2)</f>
      </c>
      <c r="E144" s="8">
        <f>IF(OR('2. Мои данные'!B95="",'2. Мои данные'!C95=""),"",'2. Мои данные'!B95-'2. Мои данные'!C95)</f>
      </c>
      <c r="F144" s="8">
        <f>IF(OR('2. Мои данные'!B95="",'2. Мои данные'!C95=""),0,'2. Мои данные'!B95-'2. Мои данные'!C95)</f>
      </c>
      <c r="G144" s="8">
        <f>IF('23. Расчёты'!F144=0,"",ABS('23. Расчёты'!F144))</f>
      </c>
      <c r="H144" s="8">
        <f>IF('23. Расчёты'!F144=0,0,COUNTIF('23. Расчёты'!$G$61:$G$180,"&lt;"&amp;ABS('23. Расчёты'!F144))+(COUNTIF('23. Расчёты'!$G$61:$G$180,ABS('23. Расчёты'!F144))+1)/2)</f>
      </c>
    </row>
    <row r="145">
      <c r="A145" s="8">
        <f>IF('2. Мои данные'!B96="",0,COUNTIF(Выборка1,"&lt;"&amp;'2. Мои данные'!B96)+COUNTIF(Выборка2,"&lt;"&amp;'2. Мои данные'!B96)+(COUNTIF(Выборка1,'2. Мои данные'!B96)+COUNTIF(Выборка2,'2. Мои данные'!B96)+1)/2)</f>
      </c>
      <c r="B145" s="8">
        <f>IF('2. Мои данные'!C96="",0,COUNTIF(Выборка1,"&lt;"&amp;'2. Мои данные'!C96)+COUNTIF(Выборка2,"&lt;"&amp;'2. Мои данные'!C96)+(COUNTIF(Выборка1,'2. Мои данные'!C96)+COUNTIF(Выборка2,'2. Мои данные'!C96)+1)/2)</f>
      </c>
      <c r="C145" s="8">
        <f>IF('2. Мои данные'!B96="","",COUNTIF(Выборка1,"&lt;"&amp;'2. Мои данные'!B96)+(COUNTIF(Выборка1,'2. Мои данные'!B96)+1)/2)</f>
      </c>
      <c r="D145" s="8">
        <f>IF('2. Мои данные'!C96="","",COUNTIF(Выборка2,"&lt;"&amp;'2. Мои данные'!C96)+(COUNTIF(Выборка2,'2. Мои данные'!C96)+1)/2)</f>
      </c>
      <c r="E145" s="8">
        <f>IF(OR('2. Мои данные'!B96="",'2. Мои данные'!C96=""),"",'2. Мои данные'!B96-'2. Мои данные'!C96)</f>
      </c>
      <c r="F145" s="8">
        <f>IF(OR('2. Мои данные'!B96="",'2. Мои данные'!C96=""),0,'2. Мои данные'!B96-'2. Мои данные'!C96)</f>
      </c>
      <c r="G145" s="8">
        <f>IF('23. Расчёты'!F145=0,"",ABS('23. Расчёты'!F145))</f>
      </c>
      <c r="H145" s="8">
        <f>IF('23. Расчёты'!F145=0,0,COUNTIF('23. Расчёты'!$G$61:$G$180,"&lt;"&amp;ABS('23. Расчёты'!F145))+(COUNTIF('23. Расчёты'!$G$61:$G$180,ABS('23. Расчёты'!F145))+1)/2)</f>
      </c>
    </row>
    <row r="146">
      <c r="A146" s="8">
        <f>IF('2. Мои данные'!B97="",0,COUNTIF(Выборка1,"&lt;"&amp;'2. Мои данные'!B97)+COUNTIF(Выборка2,"&lt;"&amp;'2. Мои данные'!B97)+(COUNTIF(Выборка1,'2. Мои данные'!B97)+COUNTIF(Выборка2,'2. Мои данные'!B97)+1)/2)</f>
      </c>
      <c r="B146" s="8">
        <f>IF('2. Мои данные'!C97="",0,COUNTIF(Выборка1,"&lt;"&amp;'2. Мои данные'!C97)+COUNTIF(Выборка2,"&lt;"&amp;'2. Мои данные'!C97)+(COUNTIF(Выборка1,'2. Мои данные'!C97)+COUNTIF(Выборка2,'2. Мои данные'!C97)+1)/2)</f>
      </c>
      <c r="C146" s="8">
        <f>IF('2. Мои данные'!B97="","",COUNTIF(Выборка1,"&lt;"&amp;'2. Мои данные'!B97)+(COUNTIF(Выборка1,'2. Мои данные'!B97)+1)/2)</f>
      </c>
      <c r="D146" s="8">
        <f>IF('2. Мои данные'!C97="","",COUNTIF(Выборка2,"&lt;"&amp;'2. Мои данные'!C97)+(COUNTIF(Выборка2,'2. Мои данные'!C97)+1)/2)</f>
      </c>
      <c r="E146" s="8">
        <f>IF(OR('2. Мои данные'!B97="",'2. Мои данные'!C97=""),"",'2. Мои данные'!B97-'2. Мои данные'!C97)</f>
      </c>
      <c r="F146" s="8">
        <f>IF(OR('2. Мои данные'!B97="",'2. Мои данные'!C97=""),0,'2. Мои данные'!B97-'2. Мои данные'!C97)</f>
      </c>
      <c r="G146" s="8">
        <f>IF('23. Расчёты'!F146=0,"",ABS('23. Расчёты'!F146))</f>
      </c>
      <c r="H146" s="8">
        <f>IF('23. Расчёты'!F146=0,0,COUNTIF('23. Расчёты'!$G$61:$G$180,"&lt;"&amp;ABS('23. Расчёты'!F146))+(COUNTIF('23. Расчёты'!$G$61:$G$180,ABS('23. Расчёты'!F146))+1)/2)</f>
      </c>
    </row>
    <row r="147">
      <c r="A147" s="8">
        <f>IF('2. Мои данные'!B98="",0,COUNTIF(Выборка1,"&lt;"&amp;'2. Мои данные'!B98)+COUNTIF(Выборка2,"&lt;"&amp;'2. Мои данные'!B98)+(COUNTIF(Выборка1,'2. Мои данные'!B98)+COUNTIF(Выборка2,'2. Мои данные'!B98)+1)/2)</f>
      </c>
      <c r="B147" s="8">
        <f>IF('2. Мои данные'!C98="",0,COUNTIF(Выборка1,"&lt;"&amp;'2. Мои данные'!C98)+COUNTIF(Выборка2,"&lt;"&amp;'2. Мои данные'!C98)+(COUNTIF(Выборка1,'2. Мои данные'!C98)+COUNTIF(Выборка2,'2. Мои данные'!C98)+1)/2)</f>
      </c>
      <c r="C147" s="8">
        <f>IF('2. Мои данные'!B98="","",COUNTIF(Выборка1,"&lt;"&amp;'2. Мои данные'!B98)+(COUNTIF(Выборка1,'2. Мои данные'!B98)+1)/2)</f>
      </c>
      <c r="D147" s="8">
        <f>IF('2. Мои данные'!C98="","",COUNTIF(Выборка2,"&lt;"&amp;'2. Мои данные'!C98)+(COUNTIF(Выборка2,'2. Мои данные'!C98)+1)/2)</f>
      </c>
      <c r="E147" s="8">
        <f>IF(OR('2. Мои данные'!B98="",'2. Мои данные'!C98=""),"",'2. Мои данные'!B98-'2. Мои данные'!C98)</f>
      </c>
      <c r="F147" s="8">
        <f>IF(OR('2. Мои данные'!B98="",'2. Мои данные'!C98=""),0,'2. Мои данные'!B98-'2. Мои данные'!C98)</f>
      </c>
      <c r="G147" s="8">
        <f>IF('23. Расчёты'!F147=0,"",ABS('23. Расчёты'!F147))</f>
      </c>
      <c r="H147" s="8">
        <f>IF('23. Расчёты'!F147=0,0,COUNTIF('23. Расчёты'!$G$61:$G$180,"&lt;"&amp;ABS('23. Расчёты'!F147))+(COUNTIF('23. Расчёты'!$G$61:$G$180,ABS('23. Расчёты'!F147))+1)/2)</f>
      </c>
    </row>
    <row r="148">
      <c r="A148" s="8">
        <f>IF('2. Мои данные'!B99="",0,COUNTIF(Выборка1,"&lt;"&amp;'2. Мои данные'!B99)+COUNTIF(Выборка2,"&lt;"&amp;'2. Мои данные'!B99)+(COUNTIF(Выборка1,'2. Мои данные'!B99)+COUNTIF(Выборка2,'2. Мои данные'!B99)+1)/2)</f>
      </c>
      <c r="B148" s="8">
        <f>IF('2. Мои данные'!C99="",0,COUNTIF(Выборка1,"&lt;"&amp;'2. Мои данные'!C99)+COUNTIF(Выборка2,"&lt;"&amp;'2. Мои данные'!C99)+(COUNTIF(Выборка1,'2. Мои данные'!C99)+COUNTIF(Выборка2,'2. Мои данные'!C99)+1)/2)</f>
      </c>
      <c r="C148" s="8">
        <f>IF('2. Мои данные'!B99="","",COUNTIF(Выборка1,"&lt;"&amp;'2. Мои данные'!B99)+(COUNTIF(Выборка1,'2. Мои данные'!B99)+1)/2)</f>
      </c>
      <c r="D148" s="8">
        <f>IF('2. Мои данные'!C99="","",COUNTIF(Выборка2,"&lt;"&amp;'2. Мои данные'!C99)+(COUNTIF(Выборка2,'2. Мои данные'!C99)+1)/2)</f>
      </c>
      <c r="E148" s="8">
        <f>IF(OR('2. Мои данные'!B99="",'2. Мои данные'!C99=""),"",'2. Мои данные'!B99-'2. Мои данные'!C99)</f>
      </c>
      <c r="F148" s="8">
        <f>IF(OR('2. Мои данные'!B99="",'2. Мои данные'!C99=""),0,'2. Мои данные'!B99-'2. Мои данные'!C99)</f>
      </c>
      <c r="G148" s="8">
        <f>IF('23. Расчёты'!F148=0,"",ABS('23. Расчёты'!F148))</f>
      </c>
      <c r="H148" s="8">
        <f>IF('23. Расчёты'!F148=0,0,COUNTIF('23. Расчёты'!$G$61:$G$180,"&lt;"&amp;ABS('23. Расчёты'!F148))+(COUNTIF('23. Расчёты'!$G$61:$G$180,ABS('23. Расчёты'!F148))+1)/2)</f>
      </c>
    </row>
    <row r="149">
      <c r="A149" s="8">
        <f>IF('2. Мои данные'!B100="",0,COUNTIF(Выборка1,"&lt;"&amp;'2. Мои данные'!B100)+COUNTIF(Выборка2,"&lt;"&amp;'2. Мои данные'!B100)+(COUNTIF(Выборка1,'2. Мои данные'!B100)+COUNTIF(Выборка2,'2. Мои данные'!B100)+1)/2)</f>
      </c>
      <c r="B149" s="8">
        <f>IF('2. Мои данные'!C100="",0,COUNTIF(Выборка1,"&lt;"&amp;'2. Мои данные'!C100)+COUNTIF(Выборка2,"&lt;"&amp;'2. Мои данные'!C100)+(COUNTIF(Выборка1,'2. Мои данные'!C100)+COUNTIF(Выборка2,'2. Мои данные'!C100)+1)/2)</f>
      </c>
      <c r="C149" s="8">
        <f>IF('2. Мои данные'!B100="","",COUNTIF(Выборка1,"&lt;"&amp;'2. Мои данные'!B100)+(COUNTIF(Выборка1,'2. Мои данные'!B100)+1)/2)</f>
      </c>
      <c r="D149" s="8">
        <f>IF('2. Мои данные'!C100="","",COUNTIF(Выборка2,"&lt;"&amp;'2. Мои данные'!C100)+(COUNTIF(Выборка2,'2. Мои данные'!C100)+1)/2)</f>
      </c>
      <c r="E149" s="8">
        <f>IF(OR('2. Мои данные'!B100="",'2. Мои данные'!C100=""),"",'2. Мои данные'!B100-'2. Мои данные'!C100)</f>
      </c>
      <c r="F149" s="8">
        <f>IF(OR('2. Мои данные'!B100="",'2. Мои данные'!C100=""),0,'2. Мои данные'!B100-'2. Мои данные'!C100)</f>
      </c>
      <c r="G149" s="8">
        <f>IF('23. Расчёты'!F149=0,"",ABS('23. Расчёты'!F149))</f>
      </c>
      <c r="H149" s="8">
        <f>IF('23. Расчёты'!F149=0,0,COUNTIF('23. Расчёты'!$G$61:$G$180,"&lt;"&amp;ABS('23. Расчёты'!F149))+(COUNTIF('23. Расчёты'!$G$61:$G$180,ABS('23. Расчёты'!F149))+1)/2)</f>
      </c>
    </row>
    <row r="150">
      <c r="A150" s="8">
        <f>IF('2. Мои данные'!B101="",0,COUNTIF(Выборка1,"&lt;"&amp;'2. Мои данные'!B101)+COUNTIF(Выборка2,"&lt;"&amp;'2. Мои данные'!B101)+(COUNTIF(Выборка1,'2. Мои данные'!B101)+COUNTIF(Выборка2,'2. Мои данные'!B101)+1)/2)</f>
      </c>
      <c r="B150" s="8">
        <f>IF('2. Мои данные'!C101="",0,COUNTIF(Выборка1,"&lt;"&amp;'2. Мои данные'!C101)+COUNTIF(Выборка2,"&lt;"&amp;'2. Мои данные'!C101)+(COUNTIF(Выборка1,'2. Мои данные'!C101)+COUNTIF(Выборка2,'2. Мои данные'!C101)+1)/2)</f>
      </c>
      <c r="C150" s="8">
        <f>IF('2. Мои данные'!B101="","",COUNTIF(Выборка1,"&lt;"&amp;'2. Мои данные'!B101)+(COUNTIF(Выборка1,'2. Мои данные'!B101)+1)/2)</f>
      </c>
      <c r="D150" s="8">
        <f>IF('2. Мои данные'!C101="","",COUNTIF(Выборка2,"&lt;"&amp;'2. Мои данные'!C101)+(COUNTIF(Выборка2,'2. Мои данные'!C101)+1)/2)</f>
      </c>
      <c r="E150" s="8">
        <f>IF(OR('2. Мои данные'!B101="",'2. Мои данные'!C101=""),"",'2. Мои данные'!B101-'2. Мои данные'!C101)</f>
      </c>
      <c r="F150" s="8">
        <f>IF(OR('2. Мои данные'!B101="",'2. Мои данные'!C101=""),0,'2. Мои данные'!B101-'2. Мои данные'!C101)</f>
      </c>
      <c r="G150" s="8">
        <f>IF('23. Расчёты'!F150=0,"",ABS('23. Расчёты'!F150))</f>
      </c>
      <c r="H150" s="8">
        <f>IF('23. Расчёты'!F150=0,0,COUNTIF('23. Расчёты'!$G$61:$G$180,"&lt;"&amp;ABS('23. Расчёты'!F150))+(COUNTIF('23. Расчёты'!$G$61:$G$180,ABS('23. Расчёты'!F150))+1)/2)</f>
      </c>
    </row>
    <row r="151">
      <c r="A151" s="8">
        <f>IF('2. Мои данные'!B102="",0,COUNTIF(Выборка1,"&lt;"&amp;'2. Мои данные'!B102)+COUNTIF(Выборка2,"&lt;"&amp;'2. Мои данные'!B102)+(COUNTIF(Выборка1,'2. Мои данные'!B102)+COUNTIF(Выборка2,'2. Мои данные'!B102)+1)/2)</f>
      </c>
      <c r="B151" s="8">
        <f>IF('2. Мои данные'!C102="",0,COUNTIF(Выборка1,"&lt;"&amp;'2. Мои данные'!C102)+COUNTIF(Выборка2,"&lt;"&amp;'2. Мои данные'!C102)+(COUNTIF(Выборка1,'2. Мои данные'!C102)+COUNTIF(Выборка2,'2. Мои данные'!C102)+1)/2)</f>
      </c>
      <c r="C151" s="8">
        <f>IF('2. Мои данные'!B102="","",COUNTIF(Выборка1,"&lt;"&amp;'2. Мои данные'!B102)+(COUNTIF(Выборка1,'2. Мои данные'!B102)+1)/2)</f>
      </c>
      <c r="D151" s="8">
        <f>IF('2. Мои данные'!C102="","",COUNTIF(Выборка2,"&lt;"&amp;'2. Мои данные'!C102)+(COUNTIF(Выборка2,'2. Мои данные'!C102)+1)/2)</f>
      </c>
      <c r="E151" s="8">
        <f>IF(OR('2. Мои данные'!B102="",'2. Мои данные'!C102=""),"",'2. Мои данные'!B102-'2. Мои данные'!C102)</f>
      </c>
      <c r="F151" s="8">
        <f>IF(OR('2. Мои данные'!B102="",'2. Мои данные'!C102=""),0,'2. Мои данные'!B102-'2. Мои данные'!C102)</f>
      </c>
      <c r="G151" s="8">
        <f>IF('23. Расчёты'!F151=0,"",ABS('23. Расчёты'!F151))</f>
      </c>
      <c r="H151" s="8">
        <f>IF('23. Расчёты'!F151=0,0,COUNTIF('23. Расчёты'!$G$61:$G$180,"&lt;"&amp;ABS('23. Расчёты'!F151))+(COUNTIF('23. Расчёты'!$G$61:$G$180,ABS('23. Расчёты'!F151))+1)/2)</f>
      </c>
    </row>
    <row r="152">
      <c r="A152" s="8">
        <f>IF('2. Мои данные'!B103="",0,COUNTIF(Выборка1,"&lt;"&amp;'2. Мои данные'!B103)+COUNTIF(Выборка2,"&lt;"&amp;'2. Мои данные'!B103)+(COUNTIF(Выборка1,'2. Мои данные'!B103)+COUNTIF(Выборка2,'2. Мои данные'!B103)+1)/2)</f>
      </c>
      <c r="B152" s="8">
        <f>IF('2. Мои данные'!C103="",0,COUNTIF(Выборка1,"&lt;"&amp;'2. Мои данные'!C103)+COUNTIF(Выборка2,"&lt;"&amp;'2. Мои данные'!C103)+(COUNTIF(Выборка1,'2. Мои данные'!C103)+COUNTIF(Выборка2,'2. Мои данные'!C103)+1)/2)</f>
      </c>
      <c r="C152" s="8">
        <f>IF('2. Мои данные'!B103="","",COUNTIF(Выборка1,"&lt;"&amp;'2. Мои данные'!B103)+(COUNTIF(Выборка1,'2. Мои данные'!B103)+1)/2)</f>
      </c>
      <c r="D152" s="8">
        <f>IF('2. Мои данные'!C103="","",COUNTIF(Выборка2,"&lt;"&amp;'2. Мои данные'!C103)+(COUNTIF(Выборка2,'2. Мои данные'!C103)+1)/2)</f>
      </c>
      <c r="E152" s="8">
        <f>IF(OR('2. Мои данные'!B103="",'2. Мои данные'!C103=""),"",'2. Мои данные'!B103-'2. Мои данные'!C103)</f>
      </c>
      <c r="F152" s="8">
        <f>IF(OR('2. Мои данные'!B103="",'2. Мои данные'!C103=""),0,'2. Мои данные'!B103-'2. Мои данные'!C103)</f>
      </c>
      <c r="G152" s="8">
        <f>IF('23. Расчёты'!F152=0,"",ABS('23. Расчёты'!F152))</f>
      </c>
      <c r="H152" s="8">
        <f>IF('23. Расчёты'!F152=0,0,COUNTIF('23. Расчёты'!$G$61:$G$180,"&lt;"&amp;ABS('23. Расчёты'!F152))+(COUNTIF('23. Расчёты'!$G$61:$G$180,ABS('23. Расчёты'!F152))+1)/2)</f>
      </c>
    </row>
    <row r="153">
      <c r="A153" s="8">
        <f>IF('2. Мои данные'!B104="",0,COUNTIF(Выборка1,"&lt;"&amp;'2. Мои данные'!B104)+COUNTIF(Выборка2,"&lt;"&amp;'2. Мои данные'!B104)+(COUNTIF(Выборка1,'2. Мои данные'!B104)+COUNTIF(Выборка2,'2. Мои данные'!B104)+1)/2)</f>
      </c>
      <c r="B153" s="8">
        <f>IF('2. Мои данные'!C104="",0,COUNTIF(Выборка1,"&lt;"&amp;'2. Мои данные'!C104)+COUNTIF(Выборка2,"&lt;"&amp;'2. Мои данные'!C104)+(COUNTIF(Выборка1,'2. Мои данные'!C104)+COUNTIF(Выборка2,'2. Мои данные'!C104)+1)/2)</f>
      </c>
      <c r="C153" s="8">
        <f>IF('2. Мои данные'!B104="","",COUNTIF(Выборка1,"&lt;"&amp;'2. Мои данные'!B104)+(COUNTIF(Выборка1,'2. Мои данные'!B104)+1)/2)</f>
      </c>
      <c r="D153" s="8">
        <f>IF('2. Мои данные'!C104="","",COUNTIF(Выборка2,"&lt;"&amp;'2. Мои данные'!C104)+(COUNTIF(Выборка2,'2. Мои данные'!C104)+1)/2)</f>
      </c>
      <c r="E153" s="8">
        <f>IF(OR('2. Мои данные'!B104="",'2. Мои данные'!C104=""),"",'2. Мои данные'!B104-'2. Мои данные'!C104)</f>
      </c>
      <c r="F153" s="8">
        <f>IF(OR('2. Мои данные'!B104="",'2. Мои данные'!C104=""),0,'2. Мои данные'!B104-'2. Мои данные'!C104)</f>
      </c>
      <c r="G153" s="8">
        <f>IF('23. Расчёты'!F153=0,"",ABS('23. Расчёты'!F153))</f>
      </c>
      <c r="H153" s="8">
        <f>IF('23. Расчёты'!F153=0,0,COUNTIF('23. Расчёты'!$G$61:$G$180,"&lt;"&amp;ABS('23. Расчёты'!F153))+(COUNTIF('23. Расчёты'!$G$61:$G$180,ABS('23. Расчёты'!F153))+1)/2)</f>
      </c>
    </row>
    <row r="154">
      <c r="A154" s="8">
        <f>IF('2. Мои данные'!B105="",0,COUNTIF(Выборка1,"&lt;"&amp;'2. Мои данные'!B105)+COUNTIF(Выборка2,"&lt;"&amp;'2. Мои данные'!B105)+(COUNTIF(Выборка1,'2. Мои данные'!B105)+COUNTIF(Выборка2,'2. Мои данные'!B105)+1)/2)</f>
      </c>
      <c r="B154" s="8">
        <f>IF('2. Мои данные'!C105="",0,COUNTIF(Выборка1,"&lt;"&amp;'2. Мои данные'!C105)+COUNTIF(Выборка2,"&lt;"&amp;'2. Мои данные'!C105)+(COUNTIF(Выборка1,'2. Мои данные'!C105)+COUNTIF(Выборка2,'2. Мои данные'!C105)+1)/2)</f>
      </c>
      <c r="C154" s="8">
        <f>IF('2. Мои данные'!B105="","",COUNTIF(Выборка1,"&lt;"&amp;'2. Мои данные'!B105)+(COUNTIF(Выборка1,'2. Мои данные'!B105)+1)/2)</f>
      </c>
      <c r="D154" s="8">
        <f>IF('2. Мои данные'!C105="","",COUNTIF(Выборка2,"&lt;"&amp;'2. Мои данные'!C105)+(COUNTIF(Выборка2,'2. Мои данные'!C105)+1)/2)</f>
      </c>
      <c r="E154" s="8">
        <f>IF(OR('2. Мои данные'!B105="",'2. Мои данные'!C105=""),"",'2. Мои данные'!B105-'2. Мои данные'!C105)</f>
      </c>
      <c r="F154" s="8">
        <f>IF(OR('2. Мои данные'!B105="",'2. Мои данные'!C105=""),0,'2. Мои данные'!B105-'2. Мои данные'!C105)</f>
      </c>
      <c r="G154" s="8">
        <f>IF('23. Расчёты'!F154=0,"",ABS('23. Расчёты'!F154))</f>
      </c>
      <c r="H154" s="8">
        <f>IF('23. Расчёты'!F154=0,0,COUNTIF('23. Расчёты'!$G$61:$G$180,"&lt;"&amp;ABS('23. Расчёты'!F154))+(COUNTIF('23. Расчёты'!$G$61:$G$180,ABS('23. Расчёты'!F154))+1)/2)</f>
      </c>
    </row>
    <row r="155">
      <c r="A155" s="8">
        <f>IF('2. Мои данные'!B106="",0,COUNTIF(Выборка1,"&lt;"&amp;'2. Мои данные'!B106)+COUNTIF(Выборка2,"&lt;"&amp;'2. Мои данные'!B106)+(COUNTIF(Выборка1,'2. Мои данные'!B106)+COUNTIF(Выборка2,'2. Мои данные'!B106)+1)/2)</f>
      </c>
      <c r="B155" s="8">
        <f>IF('2. Мои данные'!C106="",0,COUNTIF(Выборка1,"&lt;"&amp;'2. Мои данные'!C106)+COUNTIF(Выборка2,"&lt;"&amp;'2. Мои данные'!C106)+(COUNTIF(Выборка1,'2. Мои данные'!C106)+COUNTIF(Выборка2,'2. Мои данные'!C106)+1)/2)</f>
      </c>
      <c r="C155" s="8">
        <f>IF('2. Мои данные'!B106="","",COUNTIF(Выборка1,"&lt;"&amp;'2. Мои данные'!B106)+(COUNTIF(Выборка1,'2. Мои данные'!B106)+1)/2)</f>
      </c>
      <c r="D155" s="8">
        <f>IF('2. Мои данные'!C106="","",COUNTIF(Выборка2,"&lt;"&amp;'2. Мои данные'!C106)+(COUNTIF(Выборка2,'2. Мои данные'!C106)+1)/2)</f>
      </c>
      <c r="E155" s="8">
        <f>IF(OR('2. Мои данные'!B106="",'2. Мои данные'!C106=""),"",'2. Мои данные'!B106-'2. Мои данные'!C106)</f>
      </c>
      <c r="F155" s="8">
        <f>IF(OR('2. Мои данные'!B106="",'2. Мои данные'!C106=""),0,'2. Мои данные'!B106-'2. Мои данные'!C106)</f>
      </c>
      <c r="G155" s="8">
        <f>IF('23. Расчёты'!F155=0,"",ABS('23. Расчёты'!F155))</f>
      </c>
      <c r="H155" s="8">
        <f>IF('23. Расчёты'!F155=0,0,COUNTIF('23. Расчёты'!$G$61:$G$180,"&lt;"&amp;ABS('23. Расчёты'!F155))+(COUNTIF('23. Расчёты'!$G$61:$G$180,ABS('23. Расчёты'!F155))+1)/2)</f>
      </c>
    </row>
    <row r="156">
      <c r="A156" s="8">
        <f>IF('2. Мои данные'!B107="",0,COUNTIF(Выборка1,"&lt;"&amp;'2. Мои данные'!B107)+COUNTIF(Выборка2,"&lt;"&amp;'2. Мои данные'!B107)+(COUNTIF(Выборка1,'2. Мои данные'!B107)+COUNTIF(Выборка2,'2. Мои данные'!B107)+1)/2)</f>
      </c>
      <c r="B156" s="8">
        <f>IF('2. Мои данные'!C107="",0,COUNTIF(Выборка1,"&lt;"&amp;'2. Мои данные'!C107)+COUNTIF(Выборка2,"&lt;"&amp;'2. Мои данные'!C107)+(COUNTIF(Выборка1,'2. Мои данные'!C107)+COUNTIF(Выборка2,'2. Мои данные'!C107)+1)/2)</f>
      </c>
      <c r="C156" s="8">
        <f>IF('2. Мои данные'!B107="","",COUNTIF(Выборка1,"&lt;"&amp;'2. Мои данные'!B107)+(COUNTIF(Выборка1,'2. Мои данные'!B107)+1)/2)</f>
      </c>
      <c r="D156" s="8">
        <f>IF('2. Мои данные'!C107="","",COUNTIF(Выборка2,"&lt;"&amp;'2. Мои данные'!C107)+(COUNTIF(Выборка2,'2. Мои данные'!C107)+1)/2)</f>
      </c>
      <c r="E156" s="8">
        <f>IF(OR('2. Мои данные'!B107="",'2. Мои данные'!C107=""),"",'2. Мои данные'!B107-'2. Мои данные'!C107)</f>
      </c>
      <c r="F156" s="8">
        <f>IF(OR('2. Мои данные'!B107="",'2. Мои данные'!C107=""),0,'2. Мои данные'!B107-'2. Мои данные'!C107)</f>
      </c>
      <c r="G156" s="8">
        <f>IF('23. Расчёты'!F156=0,"",ABS('23. Расчёты'!F156))</f>
      </c>
      <c r="H156" s="8">
        <f>IF('23. Расчёты'!F156=0,0,COUNTIF('23. Расчёты'!$G$61:$G$180,"&lt;"&amp;ABS('23. Расчёты'!F156))+(COUNTIF('23. Расчёты'!$G$61:$G$180,ABS('23. Расчёты'!F156))+1)/2)</f>
      </c>
    </row>
    <row r="157">
      <c r="A157" s="8">
        <f>IF('2. Мои данные'!B108="",0,COUNTIF(Выборка1,"&lt;"&amp;'2. Мои данные'!B108)+COUNTIF(Выборка2,"&lt;"&amp;'2. Мои данные'!B108)+(COUNTIF(Выборка1,'2. Мои данные'!B108)+COUNTIF(Выборка2,'2. Мои данные'!B108)+1)/2)</f>
      </c>
      <c r="B157" s="8">
        <f>IF('2. Мои данные'!C108="",0,COUNTIF(Выборка1,"&lt;"&amp;'2. Мои данные'!C108)+COUNTIF(Выборка2,"&lt;"&amp;'2. Мои данные'!C108)+(COUNTIF(Выборка1,'2. Мои данные'!C108)+COUNTIF(Выборка2,'2. Мои данные'!C108)+1)/2)</f>
      </c>
      <c r="C157" s="8">
        <f>IF('2. Мои данные'!B108="","",COUNTIF(Выборка1,"&lt;"&amp;'2. Мои данные'!B108)+(COUNTIF(Выборка1,'2. Мои данные'!B108)+1)/2)</f>
      </c>
      <c r="D157" s="8">
        <f>IF('2. Мои данные'!C108="","",COUNTIF(Выборка2,"&lt;"&amp;'2. Мои данные'!C108)+(COUNTIF(Выборка2,'2. Мои данные'!C108)+1)/2)</f>
      </c>
      <c r="E157" s="8">
        <f>IF(OR('2. Мои данные'!B108="",'2. Мои данные'!C108=""),"",'2. Мои данные'!B108-'2. Мои данные'!C108)</f>
      </c>
      <c r="F157" s="8">
        <f>IF(OR('2. Мои данные'!B108="",'2. Мои данные'!C108=""),0,'2. Мои данные'!B108-'2. Мои данные'!C108)</f>
      </c>
      <c r="G157" s="8">
        <f>IF('23. Расчёты'!F157=0,"",ABS('23. Расчёты'!F157))</f>
      </c>
      <c r="H157" s="8">
        <f>IF('23. Расчёты'!F157=0,0,COUNTIF('23. Расчёты'!$G$61:$G$180,"&lt;"&amp;ABS('23. Расчёты'!F157))+(COUNTIF('23. Расчёты'!$G$61:$G$180,ABS('23. Расчёты'!F157))+1)/2)</f>
      </c>
    </row>
    <row r="158">
      <c r="A158" s="8">
        <f>IF('2. Мои данные'!B109="",0,COUNTIF(Выборка1,"&lt;"&amp;'2. Мои данные'!B109)+COUNTIF(Выборка2,"&lt;"&amp;'2. Мои данные'!B109)+(COUNTIF(Выборка1,'2. Мои данные'!B109)+COUNTIF(Выборка2,'2. Мои данные'!B109)+1)/2)</f>
      </c>
      <c r="B158" s="8">
        <f>IF('2. Мои данные'!C109="",0,COUNTIF(Выборка1,"&lt;"&amp;'2. Мои данные'!C109)+COUNTIF(Выборка2,"&lt;"&amp;'2. Мои данные'!C109)+(COUNTIF(Выборка1,'2. Мои данные'!C109)+COUNTIF(Выборка2,'2. Мои данные'!C109)+1)/2)</f>
      </c>
      <c r="C158" s="8">
        <f>IF('2. Мои данные'!B109="","",COUNTIF(Выборка1,"&lt;"&amp;'2. Мои данные'!B109)+(COUNTIF(Выборка1,'2. Мои данные'!B109)+1)/2)</f>
      </c>
      <c r="D158" s="8">
        <f>IF('2. Мои данные'!C109="","",COUNTIF(Выборка2,"&lt;"&amp;'2. Мои данные'!C109)+(COUNTIF(Выборка2,'2. Мои данные'!C109)+1)/2)</f>
      </c>
      <c r="E158" s="8">
        <f>IF(OR('2. Мои данные'!B109="",'2. Мои данные'!C109=""),"",'2. Мои данные'!B109-'2. Мои данные'!C109)</f>
      </c>
      <c r="F158" s="8">
        <f>IF(OR('2. Мои данные'!B109="",'2. Мои данные'!C109=""),0,'2. Мои данные'!B109-'2. Мои данные'!C109)</f>
      </c>
      <c r="G158" s="8">
        <f>IF('23. Расчёты'!F158=0,"",ABS('23. Расчёты'!F158))</f>
      </c>
      <c r="H158" s="8">
        <f>IF('23. Расчёты'!F158=0,0,COUNTIF('23. Расчёты'!$G$61:$G$180,"&lt;"&amp;ABS('23. Расчёты'!F158))+(COUNTIF('23. Расчёты'!$G$61:$G$180,ABS('23. Расчёты'!F158))+1)/2)</f>
      </c>
    </row>
    <row r="159">
      <c r="A159" s="8">
        <f>IF('2. Мои данные'!B110="",0,COUNTIF(Выборка1,"&lt;"&amp;'2. Мои данные'!B110)+COUNTIF(Выборка2,"&lt;"&amp;'2. Мои данные'!B110)+(COUNTIF(Выборка1,'2. Мои данные'!B110)+COUNTIF(Выборка2,'2. Мои данные'!B110)+1)/2)</f>
      </c>
      <c r="B159" s="8">
        <f>IF('2. Мои данные'!C110="",0,COUNTIF(Выборка1,"&lt;"&amp;'2. Мои данные'!C110)+COUNTIF(Выборка2,"&lt;"&amp;'2. Мои данные'!C110)+(COUNTIF(Выборка1,'2. Мои данные'!C110)+COUNTIF(Выборка2,'2. Мои данные'!C110)+1)/2)</f>
      </c>
      <c r="C159" s="8">
        <f>IF('2. Мои данные'!B110="","",COUNTIF(Выборка1,"&lt;"&amp;'2. Мои данные'!B110)+(COUNTIF(Выборка1,'2. Мои данные'!B110)+1)/2)</f>
      </c>
      <c r="D159" s="8">
        <f>IF('2. Мои данные'!C110="","",COUNTIF(Выборка2,"&lt;"&amp;'2. Мои данные'!C110)+(COUNTIF(Выборка2,'2. Мои данные'!C110)+1)/2)</f>
      </c>
      <c r="E159" s="8">
        <f>IF(OR('2. Мои данные'!B110="",'2. Мои данные'!C110=""),"",'2. Мои данные'!B110-'2. Мои данные'!C110)</f>
      </c>
      <c r="F159" s="8">
        <f>IF(OR('2. Мои данные'!B110="",'2. Мои данные'!C110=""),0,'2. Мои данные'!B110-'2. Мои данные'!C110)</f>
      </c>
      <c r="G159" s="8">
        <f>IF('23. Расчёты'!F159=0,"",ABS('23. Расчёты'!F159))</f>
      </c>
      <c r="H159" s="8">
        <f>IF('23. Расчёты'!F159=0,0,COUNTIF('23. Расчёты'!$G$61:$G$180,"&lt;"&amp;ABS('23. Расчёты'!F159))+(COUNTIF('23. Расчёты'!$G$61:$G$180,ABS('23. Расчёты'!F159))+1)/2)</f>
      </c>
    </row>
    <row r="160">
      <c r="A160" s="8">
        <f>IF('2. Мои данные'!B111="",0,COUNTIF(Выборка1,"&lt;"&amp;'2. Мои данные'!B111)+COUNTIF(Выборка2,"&lt;"&amp;'2. Мои данные'!B111)+(COUNTIF(Выборка1,'2. Мои данные'!B111)+COUNTIF(Выборка2,'2. Мои данные'!B111)+1)/2)</f>
      </c>
      <c r="B160" s="8">
        <f>IF('2. Мои данные'!C111="",0,COUNTIF(Выборка1,"&lt;"&amp;'2. Мои данные'!C111)+COUNTIF(Выборка2,"&lt;"&amp;'2. Мои данные'!C111)+(COUNTIF(Выборка1,'2. Мои данные'!C111)+COUNTIF(Выборка2,'2. Мои данные'!C111)+1)/2)</f>
      </c>
      <c r="C160" s="8">
        <f>IF('2. Мои данные'!B111="","",COUNTIF(Выборка1,"&lt;"&amp;'2. Мои данные'!B111)+(COUNTIF(Выборка1,'2. Мои данные'!B111)+1)/2)</f>
      </c>
      <c r="D160" s="8">
        <f>IF('2. Мои данные'!C111="","",COUNTIF(Выборка2,"&lt;"&amp;'2. Мои данные'!C111)+(COUNTIF(Выборка2,'2. Мои данные'!C111)+1)/2)</f>
      </c>
      <c r="E160" s="8">
        <f>IF(OR('2. Мои данные'!B111="",'2. Мои данные'!C111=""),"",'2. Мои данные'!B111-'2. Мои данные'!C111)</f>
      </c>
      <c r="F160" s="8">
        <f>IF(OR('2. Мои данные'!B111="",'2. Мои данные'!C111=""),0,'2. Мои данные'!B111-'2. Мои данные'!C111)</f>
      </c>
      <c r="G160" s="8">
        <f>IF('23. Расчёты'!F160=0,"",ABS('23. Расчёты'!F160))</f>
      </c>
      <c r="H160" s="8">
        <f>IF('23. Расчёты'!F160=0,0,COUNTIF('23. Расчёты'!$G$61:$G$180,"&lt;"&amp;ABS('23. Расчёты'!F160))+(COUNTIF('23. Расчёты'!$G$61:$G$180,ABS('23. Расчёты'!F160))+1)/2)</f>
      </c>
    </row>
    <row r="161">
      <c r="A161" s="8">
        <f>IF('2. Мои данные'!B112="",0,COUNTIF(Выборка1,"&lt;"&amp;'2. Мои данные'!B112)+COUNTIF(Выборка2,"&lt;"&amp;'2. Мои данные'!B112)+(COUNTIF(Выборка1,'2. Мои данные'!B112)+COUNTIF(Выборка2,'2. Мои данные'!B112)+1)/2)</f>
      </c>
      <c r="B161" s="8">
        <f>IF('2. Мои данные'!C112="",0,COUNTIF(Выборка1,"&lt;"&amp;'2. Мои данные'!C112)+COUNTIF(Выборка2,"&lt;"&amp;'2. Мои данные'!C112)+(COUNTIF(Выборка1,'2. Мои данные'!C112)+COUNTIF(Выборка2,'2. Мои данные'!C112)+1)/2)</f>
      </c>
      <c r="C161" s="8">
        <f>IF('2. Мои данные'!B112="","",COUNTIF(Выборка1,"&lt;"&amp;'2. Мои данные'!B112)+(COUNTIF(Выборка1,'2. Мои данные'!B112)+1)/2)</f>
      </c>
      <c r="D161" s="8">
        <f>IF('2. Мои данные'!C112="","",COUNTIF(Выборка2,"&lt;"&amp;'2. Мои данные'!C112)+(COUNTIF(Выборка2,'2. Мои данные'!C112)+1)/2)</f>
      </c>
      <c r="E161" s="8">
        <f>IF(OR('2. Мои данные'!B112="",'2. Мои данные'!C112=""),"",'2. Мои данные'!B112-'2. Мои данные'!C112)</f>
      </c>
      <c r="F161" s="8">
        <f>IF(OR('2. Мои данные'!B112="",'2. Мои данные'!C112=""),0,'2. Мои данные'!B112-'2. Мои данные'!C112)</f>
      </c>
      <c r="G161" s="8">
        <f>IF('23. Расчёты'!F161=0,"",ABS('23. Расчёты'!F161))</f>
      </c>
      <c r="H161" s="8">
        <f>IF('23. Расчёты'!F161=0,0,COUNTIF('23. Расчёты'!$G$61:$G$180,"&lt;"&amp;ABS('23. Расчёты'!F161))+(COUNTIF('23. Расчёты'!$G$61:$G$180,ABS('23. Расчёты'!F161))+1)/2)</f>
      </c>
    </row>
    <row r="162">
      <c r="A162" s="8">
        <f>IF('2. Мои данные'!B113="",0,COUNTIF(Выборка1,"&lt;"&amp;'2. Мои данные'!B113)+COUNTIF(Выборка2,"&lt;"&amp;'2. Мои данные'!B113)+(COUNTIF(Выборка1,'2. Мои данные'!B113)+COUNTIF(Выборка2,'2. Мои данные'!B113)+1)/2)</f>
      </c>
      <c r="B162" s="8">
        <f>IF('2. Мои данные'!C113="",0,COUNTIF(Выборка1,"&lt;"&amp;'2. Мои данные'!C113)+COUNTIF(Выборка2,"&lt;"&amp;'2. Мои данные'!C113)+(COUNTIF(Выборка1,'2. Мои данные'!C113)+COUNTIF(Выборка2,'2. Мои данные'!C113)+1)/2)</f>
      </c>
      <c r="C162" s="8">
        <f>IF('2. Мои данные'!B113="","",COUNTIF(Выборка1,"&lt;"&amp;'2. Мои данные'!B113)+(COUNTIF(Выборка1,'2. Мои данные'!B113)+1)/2)</f>
      </c>
      <c r="D162" s="8">
        <f>IF('2. Мои данные'!C113="","",COUNTIF(Выборка2,"&lt;"&amp;'2. Мои данные'!C113)+(COUNTIF(Выборка2,'2. Мои данные'!C113)+1)/2)</f>
      </c>
      <c r="E162" s="8">
        <f>IF(OR('2. Мои данные'!B113="",'2. Мои данные'!C113=""),"",'2. Мои данные'!B113-'2. Мои данные'!C113)</f>
      </c>
      <c r="F162" s="8">
        <f>IF(OR('2. Мои данные'!B113="",'2. Мои данные'!C113=""),0,'2. Мои данные'!B113-'2. Мои данные'!C113)</f>
      </c>
      <c r="G162" s="8">
        <f>IF('23. Расчёты'!F162=0,"",ABS('23. Расчёты'!F162))</f>
      </c>
      <c r="H162" s="8">
        <f>IF('23. Расчёты'!F162=0,0,COUNTIF('23. Расчёты'!$G$61:$G$180,"&lt;"&amp;ABS('23. Расчёты'!F162))+(COUNTIF('23. Расчёты'!$G$61:$G$180,ABS('23. Расчёты'!F162))+1)/2)</f>
      </c>
    </row>
    <row r="163">
      <c r="A163" s="8">
        <f>IF('2. Мои данные'!B114="",0,COUNTIF(Выборка1,"&lt;"&amp;'2. Мои данные'!B114)+COUNTIF(Выборка2,"&lt;"&amp;'2. Мои данные'!B114)+(COUNTIF(Выборка1,'2. Мои данные'!B114)+COUNTIF(Выборка2,'2. Мои данные'!B114)+1)/2)</f>
      </c>
      <c r="B163" s="8">
        <f>IF('2. Мои данные'!C114="",0,COUNTIF(Выборка1,"&lt;"&amp;'2. Мои данные'!C114)+COUNTIF(Выборка2,"&lt;"&amp;'2. Мои данные'!C114)+(COUNTIF(Выборка1,'2. Мои данные'!C114)+COUNTIF(Выборка2,'2. Мои данные'!C114)+1)/2)</f>
      </c>
      <c r="C163" s="8">
        <f>IF('2. Мои данные'!B114="","",COUNTIF(Выборка1,"&lt;"&amp;'2. Мои данные'!B114)+(COUNTIF(Выборка1,'2. Мои данные'!B114)+1)/2)</f>
      </c>
      <c r="D163" s="8">
        <f>IF('2. Мои данные'!C114="","",COUNTIF(Выборка2,"&lt;"&amp;'2. Мои данные'!C114)+(COUNTIF(Выборка2,'2. Мои данные'!C114)+1)/2)</f>
      </c>
      <c r="E163" s="8">
        <f>IF(OR('2. Мои данные'!B114="",'2. Мои данные'!C114=""),"",'2. Мои данные'!B114-'2. Мои данные'!C114)</f>
      </c>
      <c r="F163" s="8">
        <f>IF(OR('2. Мои данные'!B114="",'2. Мои данные'!C114=""),0,'2. Мои данные'!B114-'2. Мои данные'!C114)</f>
      </c>
      <c r="G163" s="8">
        <f>IF('23. Расчёты'!F163=0,"",ABS('23. Расчёты'!F163))</f>
      </c>
      <c r="H163" s="8">
        <f>IF('23. Расчёты'!F163=0,0,COUNTIF('23. Расчёты'!$G$61:$G$180,"&lt;"&amp;ABS('23. Расчёты'!F163))+(COUNTIF('23. Расчёты'!$G$61:$G$180,ABS('23. Расчёты'!F163))+1)/2)</f>
      </c>
    </row>
    <row r="164">
      <c r="A164" s="8">
        <f>IF('2. Мои данные'!B115="",0,COUNTIF(Выборка1,"&lt;"&amp;'2. Мои данные'!B115)+COUNTIF(Выборка2,"&lt;"&amp;'2. Мои данные'!B115)+(COUNTIF(Выборка1,'2. Мои данные'!B115)+COUNTIF(Выборка2,'2. Мои данные'!B115)+1)/2)</f>
      </c>
      <c r="B164" s="8">
        <f>IF('2. Мои данные'!C115="",0,COUNTIF(Выборка1,"&lt;"&amp;'2. Мои данные'!C115)+COUNTIF(Выборка2,"&lt;"&amp;'2. Мои данные'!C115)+(COUNTIF(Выборка1,'2. Мои данные'!C115)+COUNTIF(Выборка2,'2. Мои данные'!C115)+1)/2)</f>
      </c>
      <c r="C164" s="8">
        <f>IF('2. Мои данные'!B115="","",COUNTIF(Выборка1,"&lt;"&amp;'2. Мои данные'!B115)+(COUNTIF(Выборка1,'2. Мои данные'!B115)+1)/2)</f>
      </c>
      <c r="D164" s="8">
        <f>IF('2. Мои данные'!C115="","",COUNTIF(Выборка2,"&lt;"&amp;'2. Мои данные'!C115)+(COUNTIF(Выборка2,'2. Мои данные'!C115)+1)/2)</f>
      </c>
      <c r="E164" s="8">
        <f>IF(OR('2. Мои данные'!B115="",'2. Мои данные'!C115=""),"",'2. Мои данные'!B115-'2. Мои данные'!C115)</f>
      </c>
      <c r="F164" s="8">
        <f>IF(OR('2. Мои данные'!B115="",'2. Мои данные'!C115=""),0,'2. Мои данные'!B115-'2. Мои данные'!C115)</f>
      </c>
      <c r="G164" s="8">
        <f>IF('23. Расчёты'!F164=0,"",ABS('23. Расчёты'!F164))</f>
      </c>
      <c r="H164" s="8">
        <f>IF('23. Расчёты'!F164=0,0,COUNTIF('23. Расчёты'!$G$61:$G$180,"&lt;"&amp;ABS('23. Расчёты'!F164))+(COUNTIF('23. Расчёты'!$G$61:$G$180,ABS('23. Расчёты'!F164))+1)/2)</f>
      </c>
    </row>
    <row r="165">
      <c r="A165" s="8">
        <f>IF('2. Мои данные'!B116="",0,COUNTIF(Выборка1,"&lt;"&amp;'2. Мои данные'!B116)+COUNTIF(Выборка2,"&lt;"&amp;'2. Мои данные'!B116)+(COUNTIF(Выборка1,'2. Мои данные'!B116)+COUNTIF(Выборка2,'2. Мои данные'!B116)+1)/2)</f>
      </c>
      <c r="B165" s="8">
        <f>IF('2. Мои данные'!C116="",0,COUNTIF(Выборка1,"&lt;"&amp;'2. Мои данные'!C116)+COUNTIF(Выборка2,"&lt;"&amp;'2. Мои данные'!C116)+(COUNTIF(Выборка1,'2. Мои данные'!C116)+COUNTIF(Выборка2,'2. Мои данные'!C116)+1)/2)</f>
      </c>
      <c r="C165" s="8">
        <f>IF('2. Мои данные'!B116="","",COUNTIF(Выборка1,"&lt;"&amp;'2. Мои данные'!B116)+(COUNTIF(Выборка1,'2. Мои данные'!B116)+1)/2)</f>
      </c>
      <c r="D165" s="8">
        <f>IF('2. Мои данные'!C116="","",COUNTIF(Выборка2,"&lt;"&amp;'2. Мои данные'!C116)+(COUNTIF(Выборка2,'2. Мои данные'!C116)+1)/2)</f>
      </c>
      <c r="E165" s="8">
        <f>IF(OR('2. Мои данные'!B116="",'2. Мои данные'!C116=""),"",'2. Мои данные'!B116-'2. Мои данные'!C116)</f>
      </c>
      <c r="F165" s="8">
        <f>IF(OR('2. Мои данные'!B116="",'2. Мои данные'!C116=""),0,'2. Мои данные'!B116-'2. Мои данные'!C116)</f>
      </c>
      <c r="G165" s="8">
        <f>IF('23. Расчёты'!F165=0,"",ABS('23. Расчёты'!F165))</f>
      </c>
      <c r="H165" s="8">
        <f>IF('23. Расчёты'!F165=0,0,COUNTIF('23. Расчёты'!$G$61:$G$180,"&lt;"&amp;ABS('23. Расчёты'!F165))+(COUNTIF('23. Расчёты'!$G$61:$G$180,ABS('23. Расчёты'!F165))+1)/2)</f>
      </c>
    </row>
    <row r="166">
      <c r="A166" s="8">
        <f>IF('2. Мои данные'!B117="",0,COUNTIF(Выборка1,"&lt;"&amp;'2. Мои данные'!B117)+COUNTIF(Выборка2,"&lt;"&amp;'2. Мои данные'!B117)+(COUNTIF(Выборка1,'2. Мои данные'!B117)+COUNTIF(Выборка2,'2. Мои данные'!B117)+1)/2)</f>
      </c>
      <c r="B166" s="8">
        <f>IF('2. Мои данные'!C117="",0,COUNTIF(Выборка1,"&lt;"&amp;'2. Мои данные'!C117)+COUNTIF(Выборка2,"&lt;"&amp;'2. Мои данные'!C117)+(COUNTIF(Выборка1,'2. Мои данные'!C117)+COUNTIF(Выборка2,'2. Мои данные'!C117)+1)/2)</f>
      </c>
      <c r="C166" s="8">
        <f>IF('2. Мои данные'!B117="","",COUNTIF(Выборка1,"&lt;"&amp;'2. Мои данные'!B117)+(COUNTIF(Выборка1,'2. Мои данные'!B117)+1)/2)</f>
      </c>
      <c r="D166" s="8">
        <f>IF('2. Мои данные'!C117="","",COUNTIF(Выборка2,"&lt;"&amp;'2. Мои данные'!C117)+(COUNTIF(Выборка2,'2. Мои данные'!C117)+1)/2)</f>
      </c>
      <c r="E166" s="8">
        <f>IF(OR('2. Мои данные'!B117="",'2. Мои данные'!C117=""),"",'2. Мои данные'!B117-'2. Мои данные'!C117)</f>
      </c>
      <c r="F166" s="8">
        <f>IF(OR('2. Мои данные'!B117="",'2. Мои данные'!C117=""),0,'2. Мои данные'!B117-'2. Мои данные'!C117)</f>
      </c>
      <c r="G166" s="8">
        <f>IF('23. Расчёты'!F166=0,"",ABS('23. Расчёты'!F166))</f>
      </c>
      <c r="H166" s="8">
        <f>IF('23. Расчёты'!F166=0,0,COUNTIF('23. Расчёты'!$G$61:$G$180,"&lt;"&amp;ABS('23. Расчёты'!F166))+(COUNTIF('23. Расчёты'!$G$61:$G$180,ABS('23. Расчёты'!F166))+1)/2)</f>
      </c>
    </row>
    <row r="167">
      <c r="A167" s="8">
        <f>IF('2. Мои данные'!B118="",0,COUNTIF(Выборка1,"&lt;"&amp;'2. Мои данные'!B118)+COUNTIF(Выборка2,"&lt;"&amp;'2. Мои данные'!B118)+(COUNTIF(Выборка1,'2. Мои данные'!B118)+COUNTIF(Выборка2,'2. Мои данные'!B118)+1)/2)</f>
      </c>
      <c r="B167" s="8">
        <f>IF('2. Мои данные'!C118="",0,COUNTIF(Выборка1,"&lt;"&amp;'2. Мои данные'!C118)+COUNTIF(Выборка2,"&lt;"&amp;'2. Мои данные'!C118)+(COUNTIF(Выборка1,'2. Мои данные'!C118)+COUNTIF(Выборка2,'2. Мои данные'!C118)+1)/2)</f>
      </c>
      <c r="C167" s="8">
        <f>IF('2. Мои данные'!B118="","",COUNTIF(Выборка1,"&lt;"&amp;'2. Мои данные'!B118)+(COUNTIF(Выборка1,'2. Мои данные'!B118)+1)/2)</f>
      </c>
      <c r="D167" s="8">
        <f>IF('2. Мои данные'!C118="","",COUNTIF(Выборка2,"&lt;"&amp;'2. Мои данные'!C118)+(COUNTIF(Выборка2,'2. Мои данные'!C118)+1)/2)</f>
      </c>
      <c r="E167" s="8">
        <f>IF(OR('2. Мои данные'!B118="",'2. Мои данные'!C118=""),"",'2. Мои данные'!B118-'2. Мои данные'!C118)</f>
      </c>
      <c r="F167" s="8">
        <f>IF(OR('2. Мои данные'!B118="",'2. Мои данные'!C118=""),0,'2. Мои данные'!B118-'2. Мои данные'!C118)</f>
      </c>
      <c r="G167" s="8">
        <f>IF('23. Расчёты'!F167=0,"",ABS('23. Расчёты'!F167))</f>
      </c>
      <c r="H167" s="8">
        <f>IF('23. Расчёты'!F167=0,0,COUNTIF('23. Расчёты'!$G$61:$G$180,"&lt;"&amp;ABS('23. Расчёты'!F167))+(COUNTIF('23. Расчёты'!$G$61:$G$180,ABS('23. Расчёты'!F167))+1)/2)</f>
      </c>
    </row>
    <row r="168">
      <c r="A168" s="8">
        <f>IF('2. Мои данные'!B119="",0,COUNTIF(Выборка1,"&lt;"&amp;'2. Мои данные'!B119)+COUNTIF(Выборка2,"&lt;"&amp;'2. Мои данные'!B119)+(COUNTIF(Выборка1,'2. Мои данные'!B119)+COUNTIF(Выборка2,'2. Мои данные'!B119)+1)/2)</f>
      </c>
      <c r="B168" s="8">
        <f>IF('2. Мои данные'!C119="",0,COUNTIF(Выборка1,"&lt;"&amp;'2. Мои данные'!C119)+COUNTIF(Выборка2,"&lt;"&amp;'2. Мои данные'!C119)+(COUNTIF(Выборка1,'2. Мои данные'!C119)+COUNTIF(Выборка2,'2. Мои данные'!C119)+1)/2)</f>
      </c>
      <c r="C168" s="8">
        <f>IF('2. Мои данные'!B119="","",COUNTIF(Выборка1,"&lt;"&amp;'2. Мои данные'!B119)+(COUNTIF(Выборка1,'2. Мои данные'!B119)+1)/2)</f>
      </c>
      <c r="D168" s="8">
        <f>IF('2. Мои данные'!C119="","",COUNTIF(Выборка2,"&lt;"&amp;'2. Мои данные'!C119)+(COUNTIF(Выборка2,'2. Мои данные'!C119)+1)/2)</f>
      </c>
      <c r="E168" s="8">
        <f>IF(OR('2. Мои данные'!B119="",'2. Мои данные'!C119=""),"",'2. Мои данные'!B119-'2. Мои данные'!C119)</f>
      </c>
      <c r="F168" s="8">
        <f>IF(OR('2. Мои данные'!B119="",'2. Мои данные'!C119=""),0,'2. Мои данные'!B119-'2. Мои данные'!C119)</f>
      </c>
      <c r="G168" s="8">
        <f>IF('23. Расчёты'!F168=0,"",ABS('23. Расчёты'!F168))</f>
      </c>
      <c r="H168" s="8">
        <f>IF('23. Расчёты'!F168=0,0,COUNTIF('23. Расчёты'!$G$61:$G$180,"&lt;"&amp;ABS('23. Расчёты'!F168))+(COUNTIF('23. Расчёты'!$G$61:$G$180,ABS('23. Расчёты'!F168))+1)/2)</f>
      </c>
    </row>
    <row r="169">
      <c r="A169" s="8">
        <f>IF('2. Мои данные'!B120="",0,COUNTIF(Выборка1,"&lt;"&amp;'2. Мои данные'!B120)+COUNTIF(Выборка2,"&lt;"&amp;'2. Мои данные'!B120)+(COUNTIF(Выборка1,'2. Мои данные'!B120)+COUNTIF(Выборка2,'2. Мои данные'!B120)+1)/2)</f>
      </c>
      <c r="B169" s="8">
        <f>IF('2. Мои данные'!C120="",0,COUNTIF(Выборка1,"&lt;"&amp;'2. Мои данные'!C120)+COUNTIF(Выборка2,"&lt;"&amp;'2. Мои данные'!C120)+(COUNTIF(Выборка1,'2. Мои данные'!C120)+COUNTIF(Выборка2,'2. Мои данные'!C120)+1)/2)</f>
      </c>
      <c r="C169" s="8">
        <f>IF('2. Мои данные'!B120="","",COUNTIF(Выборка1,"&lt;"&amp;'2. Мои данные'!B120)+(COUNTIF(Выборка1,'2. Мои данные'!B120)+1)/2)</f>
      </c>
      <c r="D169" s="8">
        <f>IF('2. Мои данные'!C120="","",COUNTIF(Выборка2,"&lt;"&amp;'2. Мои данные'!C120)+(COUNTIF(Выборка2,'2. Мои данные'!C120)+1)/2)</f>
      </c>
      <c r="E169" s="8">
        <f>IF(OR('2. Мои данные'!B120="",'2. Мои данные'!C120=""),"",'2. Мои данные'!B120-'2. Мои данные'!C120)</f>
      </c>
      <c r="F169" s="8">
        <f>IF(OR('2. Мои данные'!B120="",'2. Мои данные'!C120=""),0,'2. Мои данные'!B120-'2. Мои данные'!C120)</f>
      </c>
      <c r="G169" s="8">
        <f>IF('23. Расчёты'!F169=0,"",ABS('23. Расчёты'!F169))</f>
      </c>
      <c r="H169" s="8">
        <f>IF('23. Расчёты'!F169=0,0,COUNTIF('23. Расчёты'!$G$61:$G$180,"&lt;"&amp;ABS('23. Расчёты'!F169))+(COUNTIF('23. Расчёты'!$G$61:$G$180,ABS('23. Расчёты'!F169))+1)/2)</f>
      </c>
    </row>
    <row r="170">
      <c r="A170" s="8">
        <f>IF('2. Мои данные'!B121="",0,COUNTIF(Выборка1,"&lt;"&amp;'2. Мои данные'!B121)+COUNTIF(Выборка2,"&lt;"&amp;'2. Мои данные'!B121)+(COUNTIF(Выборка1,'2. Мои данные'!B121)+COUNTIF(Выборка2,'2. Мои данные'!B121)+1)/2)</f>
      </c>
      <c r="B170" s="8">
        <f>IF('2. Мои данные'!C121="",0,COUNTIF(Выборка1,"&lt;"&amp;'2. Мои данные'!C121)+COUNTIF(Выборка2,"&lt;"&amp;'2. Мои данные'!C121)+(COUNTIF(Выборка1,'2. Мои данные'!C121)+COUNTIF(Выборка2,'2. Мои данные'!C121)+1)/2)</f>
      </c>
      <c r="C170" s="8">
        <f>IF('2. Мои данные'!B121="","",COUNTIF(Выборка1,"&lt;"&amp;'2. Мои данные'!B121)+(COUNTIF(Выборка1,'2. Мои данные'!B121)+1)/2)</f>
      </c>
      <c r="D170" s="8">
        <f>IF('2. Мои данные'!C121="","",COUNTIF(Выборка2,"&lt;"&amp;'2. Мои данные'!C121)+(COUNTIF(Выборка2,'2. Мои данные'!C121)+1)/2)</f>
      </c>
      <c r="E170" s="8">
        <f>IF(OR('2. Мои данные'!B121="",'2. Мои данные'!C121=""),"",'2. Мои данные'!B121-'2. Мои данные'!C121)</f>
      </c>
      <c r="F170" s="8">
        <f>IF(OR('2. Мои данные'!B121="",'2. Мои данные'!C121=""),0,'2. Мои данные'!B121-'2. Мои данные'!C121)</f>
      </c>
      <c r="G170" s="8">
        <f>IF('23. Расчёты'!F170=0,"",ABS('23. Расчёты'!F170))</f>
      </c>
      <c r="H170" s="8">
        <f>IF('23. Расчёты'!F170=0,0,COUNTIF('23. Расчёты'!$G$61:$G$180,"&lt;"&amp;ABS('23. Расчёты'!F170))+(COUNTIF('23. Расчёты'!$G$61:$G$180,ABS('23. Расчёты'!F170))+1)/2)</f>
      </c>
    </row>
    <row r="171">
      <c r="A171" s="8">
        <f>IF('2. Мои данные'!B122="",0,COUNTIF(Выборка1,"&lt;"&amp;'2. Мои данные'!B122)+COUNTIF(Выборка2,"&lt;"&amp;'2. Мои данные'!B122)+(COUNTIF(Выборка1,'2. Мои данные'!B122)+COUNTIF(Выборка2,'2. Мои данные'!B122)+1)/2)</f>
      </c>
      <c r="B171" s="8">
        <f>IF('2. Мои данные'!C122="",0,COUNTIF(Выборка1,"&lt;"&amp;'2. Мои данные'!C122)+COUNTIF(Выборка2,"&lt;"&amp;'2. Мои данные'!C122)+(COUNTIF(Выборка1,'2. Мои данные'!C122)+COUNTIF(Выборка2,'2. Мои данные'!C122)+1)/2)</f>
      </c>
      <c r="C171" s="8">
        <f>IF('2. Мои данные'!B122="","",COUNTIF(Выборка1,"&lt;"&amp;'2. Мои данные'!B122)+(COUNTIF(Выборка1,'2. Мои данные'!B122)+1)/2)</f>
      </c>
      <c r="D171" s="8">
        <f>IF('2. Мои данные'!C122="","",COUNTIF(Выборка2,"&lt;"&amp;'2. Мои данные'!C122)+(COUNTIF(Выборка2,'2. Мои данные'!C122)+1)/2)</f>
      </c>
      <c r="E171" s="8">
        <f>IF(OR('2. Мои данные'!B122="",'2. Мои данные'!C122=""),"",'2. Мои данные'!B122-'2. Мои данные'!C122)</f>
      </c>
      <c r="F171" s="8">
        <f>IF(OR('2. Мои данные'!B122="",'2. Мои данные'!C122=""),0,'2. Мои данные'!B122-'2. Мои данные'!C122)</f>
      </c>
      <c r="G171" s="8">
        <f>IF('23. Расчёты'!F171=0,"",ABS('23. Расчёты'!F171))</f>
      </c>
      <c r="H171" s="8">
        <f>IF('23. Расчёты'!F171=0,0,COUNTIF('23. Расчёты'!$G$61:$G$180,"&lt;"&amp;ABS('23. Расчёты'!F171))+(COUNTIF('23. Расчёты'!$G$61:$G$180,ABS('23. Расчёты'!F171))+1)/2)</f>
      </c>
    </row>
    <row r="172">
      <c r="A172" s="8">
        <f>IF('2. Мои данные'!B123="",0,COUNTIF(Выборка1,"&lt;"&amp;'2. Мои данные'!B123)+COUNTIF(Выборка2,"&lt;"&amp;'2. Мои данные'!B123)+(COUNTIF(Выборка1,'2. Мои данные'!B123)+COUNTIF(Выборка2,'2. Мои данные'!B123)+1)/2)</f>
      </c>
      <c r="B172" s="8">
        <f>IF('2. Мои данные'!C123="",0,COUNTIF(Выборка1,"&lt;"&amp;'2. Мои данные'!C123)+COUNTIF(Выборка2,"&lt;"&amp;'2. Мои данные'!C123)+(COUNTIF(Выборка1,'2. Мои данные'!C123)+COUNTIF(Выборка2,'2. Мои данные'!C123)+1)/2)</f>
      </c>
      <c r="C172" s="8">
        <f>IF('2. Мои данные'!B123="","",COUNTIF(Выборка1,"&lt;"&amp;'2. Мои данные'!B123)+(COUNTIF(Выборка1,'2. Мои данные'!B123)+1)/2)</f>
      </c>
      <c r="D172" s="8">
        <f>IF('2. Мои данные'!C123="","",COUNTIF(Выборка2,"&lt;"&amp;'2. Мои данные'!C123)+(COUNTIF(Выборка2,'2. Мои данные'!C123)+1)/2)</f>
      </c>
      <c r="E172" s="8">
        <f>IF(OR('2. Мои данные'!B123="",'2. Мои данные'!C123=""),"",'2. Мои данные'!B123-'2. Мои данные'!C123)</f>
      </c>
      <c r="F172" s="8">
        <f>IF(OR('2. Мои данные'!B123="",'2. Мои данные'!C123=""),0,'2. Мои данные'!B123-'2. Мои данные'!C123)</f>
      </c>
      <c r="G172" s="8">
        <f>IF('23. Расчёты'!F172=0,"",ABS('23. Расчёты'!F172))</f>
      </c>
      <c r="H172" s="8">
        <f>IF('23. Расчёты'!F172=0,0,COUNTIF('23. Расчёты'!$G$61:$G$180,"&lt;"&amp;ABS('23. Расчёты'!F172))+(COUNTIF('23. Расчёты'!$G$61:$G$180,ABS('23. Расчёты'!F172))+1)/2)</f>
      </c>
    </row>
    <row r="173">
      <c r="A173" s="8">
        <f>IF('2. Мои данные'!B124="",0,COUNTIF(Выборка1,"&lt;"&amp;'2. Мои данные'!B124)+COUNTIF(Выборка2,"&lt;"&amp;'2. Мои данные'!B124)+(COUNTIF(Выборка1,'2. Мои данные'!B124)+COUNTIF(Выборка2,'2. Мои данные'!B124)+1)/2)</f>
      </c>
      <c r="B173" s="8">
        <f>IF('2. Мои данные'!C124="",0,COUNTIF(Выборка1,"&lt;"&amp;'2. Мои данные'!C124)+COUNTIF(Выборка2,"&lt;"&amp;'2. Мои данные'!C124)+(COUNTIF(Выборка1,'2. Мои данные'!C124)+COUNTIF(Выборка2,'2. Мои данные'!C124)+1)/2)</f>
      </c>
      <c r="C173" s="8">
        <f>IF('2. Мои данные'!B124="","",COUNTIF(Выборка1,"&lt;"&amp;'2. Мои данные'!B124)+(COUNTIF(Выборка1,'2. Мои данные'!B124)+1)/2)</f>
      </c>
      <c r="D173" s="8">
        <f>IF('2. Мои данные'!C124="","",COUNTIF(Выборка2,"&lt;"&amp;'2. Мои данные'!C124)+(COUNTIF(Выборка2,'2. Мои данные'!C124)+1)/2)</f>
      </c>
      <c r="E173" s="8">
        <f>IF(OR('2. Мои данные'!B124="",'2. Мои данные'!C124=""),"",'2. Мои данные'!B124-'2. Мои данные'!C124)</f>
      </c>
      <c r="F173" s="8">
        <f>IF(OR('2. Мои данные'!B124="",'2. Мои данные'!C124=""),0,'2. Мои данные'!B124-'2. Мои данные'!C124)</f>
      </c>
      <c r="G173" s="8">
        <f>IF('23. Расчёты'!F173=0,"",ABS('23. Расчёты'!F173))</f>
      </c>
      <c r="H173" s="8">
        <f>IF('23. Расчёты'!F173=0,0,COUNTIF('23. Расчёты'!$G$61:$G$180,"&lt;"&amp;ABS('23. Расчёты'!F173))+(COUNTIF('23. Расчёты'!$G$61:$G$180,ABS('23. Расчёты'!F173))+1)/2)</f>
      </c>
    </row>
    <row r="174">
      <c r="A174" s="8">
        <f>IF('2. Мои данные'!B125="",0,COUNTIF(Выборка1,"&lt;"&amp;'2. Мои данные'!B125)+COUNTIF(Выборка2,"&lt;"&amp;'2. Мои данные'!B125)+(COUNTIF(Выборка1,'2. Мои данные'!B125)+COUNTIF(Выборка2,'2. Мои данные'!B125)+1)/2)</f>
      </c>
      <c r="B174" s="8">
        <f>IF('2. Мои данные'!C125="",0,COUNTIF(Выборка1,"&lt;"&amp;'2. Мои данные'!C125)+COUNTIF(Выборка2,"&lt;"&amp;'2. Мои данные'!C125)+(COUNTIF(Выборка1,'2. Мои данные'!C125)+COUNTIF(Выборка2,'2. Мои данные'!C125)+1)/2)</f>
      </c>
      <c r="C174" s="8">
        <f>IF('2. Мои данные'!B125="","",COUNTIF(Выборка1,"&lt;"&amp;'2. Мои данные'!B125)+(COUNTIF(Выборка1,'2. Мои данные'!B125)+1)/2)</f>
      </c>
      <c r="D174" s="8">
        <f>IF('2. Мои данные'!C125="","",COUNTIF(Выборка2,"&lt;"&amp;'2. Мои данные'!C125)+(COUNTIF(Выборка2,'2. Мои данные'!C125)+1)/2)</f>
      </c>
      <c r="E174" s="8">
        <f>IF(OR('2. Мои данные'!B125="",'2. Мои данные'!C125=""),"",'2. Мои данные'!B125-'2. Мои данные'!C125)</f>
      </c>
      <c r="F174" s="8">
        <f>IF(OR('2. Мои данные'!B125="",'2. Мои данные'!C125=""),0,'2. Мои данные'!B125-'2. Мои данные'!C125)</f>
      </c>
      <c r="G174" s="8">
        <f>IF('23. Расчёты'!F174=0,"",ABS('23. Расчёты'!F174))</f>
      </c>
      <c r="H174" s="8">
        <f>IF('23. Расчёты'!F174=0,0,COUNTIF('23. Расчёты'!$G$61:$G$180,"&lt;"&amp;ABS('23. Расчёты'!F174))+(COUNTIF('23. Расчёты'!$G$61:$G$180,ABS('23. Расчёты'!F174))+1)/2)</f>
      </c>
    </row>
    <row r="175">
      <c r="A175" s="8">
        <f>IF('2. Мои данные'!B126="",0,COUNTIF(Выборка1,"&lt;"&amp;'2. Мои данные'!B126)+COUNTIF(Выборка2,"&lt;"&amp;'2. Мои данные'!B126)+(COUNTIF(Выборка1,'2. Мои данные'!B126)+COUNTIF(Выборка2,'2. Мои данные'!B126)+1)/2)</f>
      </c>
      <c r="B175" s="8">
        <f>IF('2. Мои данные'!C126="",0,COUNTIF(Выборка1,"&lt;"&amp;'2. Мои данные'!C126)+COUNTIF(Выборка2,"&lt;"&amp;'2. Мои данные'!C126)+(COUNTIF(Выборка1,'2. Мои данные'!C126)+COUNTIF(Выборка2,'2. Мои данные'!C126)+1)/2)</f>
      </c>
      <c r="C175" s="8">
        <f>IF('2. Мои данные'!B126="","",COUNTIF(Выборка1,"&lt;"&amp;'2. Мои данные'!B126)+(COUNTIF(Выборка1,'2. Мои данные'!B126)+1)/2)</f>
      </c>
      <c r="D175" s="8">
        <f>IF('2. Мои данные'!C126="","",COUNTIF(Выборка2,"&lt;"&amp;'2. Мои данные'!C126)+(COUNTIF(Выборка2,'2. Мои данные'!C126)+1)/2)</f>
      </c>
      <c r="E175" s="8">
        <f>IF(OR('2. Мои данные'!B126="",'2. Мои данные'!C126=""),"",'2. Мои данные'!B126-'2. Мои данные'!C126)</f>
      </c>
      <c r="F175" s="8">
        <f>IF(OR('2. Мои данные'!B126="",'2. Мои данные'!C126=""),0,'2. Мои данные'!B126-'2. Мои данные'!C126)</f>
      </c>
      <c r="G175" s="8">
        <f>IF('23. Расчёты'!F175=0,"",ABS('23. Расчёты'!F175))</f>
      </c>
      <c r="H175" s="8">
        <f>IF('23. Расчёты'!F175=0,0,COUNTIF('23. Расчёты'!$G$61:$G$180,"&lt;"&amp;ABS('23. Расчёты'!F175))+(COUNTIF('23. Расчёты'!$G$61:$G$180,ABS('23. Расчёты'!F175))+1)/2)</f>
      </c>
    </row>
    <row r="176">
      <c r="A176" s="8">
        <f>IF('2. Мои данные'!B127="",0,COUNTIF(Выборка1,"&lt;"&amp;'2. Мои данные'!B127)+COUNTIF(Выборка2,"&lt;"&amp;'2. Мои данные'!B127)+(COUNTIF(Выборка1,'2. Мои данные'!B127)+COUNTIF(Выборка2,'2. Мои данные'!B127)+1)/2)</f>
      </c>
      <c r="B176" s="8">
        <f>IF('2. Мои данные'!C127="",0,COUNTIF(Выборка1,"&lt;"&amp;'2. Мои данные'!C127)+COUNTIF(Выборка2,"&lt;"&amp;'2. Мои данные'!C127)+(COUNTIF(Выборка1,'2. Мои данные'!C127)+COUNTIF(Выборка2,'2. Мои данные'!C127)+1)/2)</f>
      </c>
      <c r="C176" s="8">
        <f>IF('2. Мои данные'!B127="","",COUNTIF(Выборка1,"&lt;"&amp;'2. Мои данные'!B127)+(COUNTIF(Выборка1,'2. Мои данные'!B127)+1)/2)</f>
      </c>
      <c r="D176" s="8">
        <f>IF('2. Мои данные'!C127="","",COUNTIF(Выборка2,"&lt;"&amp;'2. Мои данные'!C127)+(COUNTIF(Выборка2,'2. Мои данные'!C127)+1)/2)</f>
      </c>
      <c r="E176" s="8">
        <f>IF(OR('2. Мои данные'!B127="",'2. Мои данные'!C127=""),"",'2. Мои данные'!B127-'2. Мои данные'!C127)</f>
      </c>
      <c r="F176" s="8">
        <f>IF(OR('2. Мои данные'!B127="",'2. Мои данные'!C127=""),0,'2. Мои данные'!B127-'2. Мои данные'!C127)</f>
      </c>
      <c r="G176" s="8">
        <f>IF('23. Расчёты'!F176=0,"",ABS('23. Расчёты'!F176))</f>
      </c>
      <c r="H176" s="8">
        <f>IF('23. Расчёты'!F176=0,0,COUNTIF('23. Расчёты'!$G$61:$G$180,"&lt;"&amp;ABS('23. Расчёты'!F176))+(COUNTIF('23. Расчёты'!$G$61:$G$180,ABS('23. Расчёты'!F176))+1)/2)</f>
      </c>
    </row>
    <row r="177">
      <c r="A177" s="8">
        <f>IF('2. Мои данные'!B128="",0,COUNTIF(Выборка1,"&lt;"&amp;'2. Мои данные'!B128)+COUNTIF(Выборка2,"&lt;"&amp;'2. Мои данные'!B128)+(COUNTIF(Выборка1,'2. Мои данные'!B128)+COUNTIF(Выборка2,'2. Мои данные'!B128)+1)/2)</f>
      </c>
      <c r="B177" s="8">
        <f>IF('2. Мои данные'!C128="",0,COUNTIF(Выборка1,"&lt;"&amp;'2. Мои данные'!C128)+COUNTIF(Выборка2,"&lt;"&amp;'2. Мои данные'!C128)+(COUNTIF(Выборка1,'2. Мои данные'!C128)+COUNTIF(Выборка2,'2. Мои данные'!C128)+1)/2)</f>
      </c>
      <c r="C177" s="8">
        <f>IF('2. Мои данные'!B128="","",COUNTIF(Выборка1,"&lt;"&amp;'2. Мои данные'!B128)+(COUNTIF(Выборка1,'2. Мои данные'!B128)+1)/2)</f>
      </c>
      <c r="D177" s="8">
        <f>IF('2. Мои данные'!C128="","",COUNTIF(Выборка2,"&lt;"&amp;'2. Мои данные'!C128)+(COUNTIF(Выборка2,'2. Мои данные'!C128)+1)/2)</f>
      </c>
      <c r="E177" s="8">
        <f>IF(OR('2. Мои данные'!B128="",'2. Мои данные'!C128=""),"",'2. Мои данные'!B128-'2. Мои данные'!C128)</f>
      </c>
      <c r="F177" s="8">
        <f>IF(OR('2. Мои данные'!B128="",'2. Мои данные'!C128=""),0,'2. Мои данные'!B128-'2. Мои данные'!C128)</f>
      </c>
      <c r="G177" s="8">
        <f>IF('23. Расчёты'!F177=0,"",ABS('23. Расчёты'!F177))</f>
      </c>
      <c r="H177" s="8">
        <f>IF('23. Расчёты'!F177=0,0,COUNTIF('23. Расчёты'!$G$61:$G$180,"&lt;"&amp;ABS('23. Расчёты'!F177))+(COUNTIF('23. Расчёты'!$G$61:$G$180,ABS('23. Расчёты'!F177))+1)/2)</f>
      </c>
    </row>
    <row r="178">
      <c r="A178" s="8">
        <f>IF('2. Мои данные'!B129="",0,COUNTIF(Выборка1,"&lt;"&amp;'2. Мои данные'!B129)+COUNTIF(Выборка2,"&lt;"&amp;'2. Мои данные'!B129)+(COUNTIF(Выборка1,'2. Мои данные'!B129)+COUNTIF(Выборка2,'2. Мои данные'!B129)+1)/2)</f>
      </c>
      <c r="B178" s="8">
        <f>IF('2. Мои данные'!C129="",0,COUNTIF(Выборка1,"&lt;"&amp;'2. Мои данные'!C129)+COUNTIF(Выборка2,"&lt;"&amp;'2. Мои данные'!C129)+(COUNTIF(Выборка1,'2. Мои данные'!C129)+COUNTIF(Выборка2,'2. Мои данные'!C129)+1)/2)</f>
      </c>
      <c r="C178" s="8">
        <f>IF('2. Мои данные'!B129="","",COUNTIF(Выборка1,"&lt;"&amp;'2. Мои данные'!B129)+(COUNTIF(Выборка1,'2. Мои данные'!B129)+1)/2)</f>
      </c>
      <c r="D178" s="8">
        <f>IF('2. Мои данные'!C129="","",COUNTIF(Выборка2,"&lt;"&amp;'2. Мои данные'!C129)+(COUNTIF(Выборка2,'2. Мои данные'!C129)+1)/2)</f>
      </c>
      <c r="E178" s="8">
        <f>IF(OR('2. Мои данные'!B129="",'2. Мои данные'!C129=""),"",'2. Мои данные'!B129-'2. Мои данные'!C129)</f>
      </c>
      <c r="F178" s="8">
        <f>IF(OR('2. Мои данные'!B129="",'2. Мои данные'!C129=""),0,'2. Мои данные'!B129-'2. Мои данные'!C129)</f>
      </c>
      <c r="G178" s="8">
        <f>IF('23. Расчёты'!F178=0,"",ABS('23. Расчёты'!F178))</f>
      </c>
      <c r="H178" s="8">
        <f>IF('23. Расчёты'!F178=0,0,COUNTIF('23. Расчёты'!$G$61:$G$180,"&lt;"&amp;ABS('23. Расчёты'!F178))+(COUNTIF('23. Расчёты'!$G$61:$G$180,ABS('23. Расчёты'!F178))+1)/2)</f>
      </c>
    </row>
    <row r="179">
      <c r="A179" s="8">
        <f>IF('2. Мои данные'!B130="",0,COUNTIF(Выборка1,"&lt;"&amp;'2. Мои данные'!B130)+COUNTIF(Выборка2,"&lt;"&amp;'2. Мои данные'!B130)+(COUNTIF(Выборка1,'2. Мои данные'!B130)+COUNTIF(Выборка2,'2. Мои данные'!B130)+1)/2)</f>
      </c>
      <c r="B179" s="8">
        <f>IF('2. Мои данные'!C130="",0,COUNTIF(Выборка1,"&lt;"&amp;'2. Мои данные'!C130)+COUNTIF(Выборка2,"&lt;"&amp;'2. Мои данные'!C130)+(COUNTIF(Выборка1,'2. Мои данные'!C130)+COUNTIF(Выборка2,'2. Мои данные'!C130)+1)/2)</f>
      </c>
      <c r="C179" s="8">
        <f>IF('2. Мои данные'!B130="","",COUNTIF(Выборка1,"&lt;"&amp;'2. Мои данные'!B130)+(COUNTIF(Выборка1,'2. Мои данные'!B130)+1)/2)</f>
      </c>
      <c r="D179" s="8">
        <f>IF('2. Мои данные'!C130="","",COUNTIF(Выборка2,"&lt;"&amp;'2. Мои данные'!C130)+(COUNTIF(Выборка2,'2. Мои данные'!C130)+1)/2)</f>
      </c>
      <c r="E179" s="8">
        <f>IF(OR('2. Мои данные'!B130="",'2. Мои данные'!C130=""),"",'2. Мои данные'!B130-'2. Мои данные'!C130)</f>
      </c>
      <c r="F179" s="8">
        <f>IF(OR('2. Мои данные'!B130="",'2. Мои данные'!C130=""),0,'2. Мои данные'!B130-'2. Мои данные'!C130)</f>
      </c>
      <c r="G179" s="8">
        <f>IF('23. Расчёты'!F179=0,"",ABS('23. Расчёты'!F179))</f>
      </c>
      <c r="H179" s="8">
        <f>IF('23. Расчёты'!F179=0,0,COUNTIF('23. Расчёты'!$G$61:$G$180,"&lt;"&amp;ABS('23. Расчёты'!F179))+(COUNTIF('23. Расчёты'!$G$61:$G$180,ABS('23. Расчёты'!F179))+1)/2)</f>
      </c>
    </row>
    <row r="180">
      <c r="A180" s="8">
        <f>IF('2. Мои данные'!B131="",0,COUNTIF(Выборка1,"&lt;"&amp;'2. Мои данные'!B131)+COUNTIF(Выборка2,"&lt;"&amp;'2. Мои данные'!B131)+(COUNTIF(Выборка1,'2. Мои данные'!B131)+COUNTIF(Выборка2,'2. Мои данные'!B131)+1)/2)</f>
      </c>
      <c r="B180" s="8">
        <f>IF('2. Мои данные'!C131="",0,COUNTIF(Выборка1,"&lt;"&amp;'2. Мои данные'!C131)+COUNTIF(Выборка2,"&lt;"&amp;'2. Мои данные'!C131)+(COUNTIF(Выборка1,'2. Мои данные'!C131)+COUNTIF(Выборка2,'2. Мои данные'!C131)+1)/2)</f>
      </c>
      <c r="C180" s="8">
        <f>IF('2. Мои данные'!B131="","",COUNTIF(Выборка1,"&lt;"&amp;'2. Мои данные'!B131)+(COUNTIF(Выборка1,'2. Мои данные'!B131)+1)/2)</f>
      </c>
      <c r="D180" s="8">
        <f>IF('2. Мои данные'!C131="","",COUNTIF(Выборка2,"&lt;"&amp;'2. Мои данные'!C131)+(COUNTIF(Выборка2,'2. Мои данные'!C131)+1)/2)</f>
      </c>
      <c r="E180" s="8">
        <f>IF(OR('2. Мои данные'!B131="",'2. Мои данные'!C131=""),"",'2. Мои данные'!B131-'2. Мои данные'!C131)</f>
      </c>
      <c r="F180" s="8">
        <f>IF(OR('2. Мои данные'!B131="",'2. Мои данные'!C131=""),0,'2. Мои данные'!B131-'2. Мои данные'!C131)</f>
      </c>
      <c r="G180" s="8">
        <f>IF('23. Расчёты'!F180=0,"",ABS('23. Расчёты'!F180))</f>
      </c>
      <c r="H180" s="8">
        <f>IF('23. Расчёты'!F180=0,0,COUNTIF('23. Расчёты'!$G$61:$G$180,"&lt;"&amp;ABS('23. Расчёты'!F180))+(COUNTIF('23. Расчёты'!$G$61:$G$180,ABS('23. Расчёты'!F180))+1)/2)</f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2F5597"/>
  </sheetPr>
  <sheetViews>
    <sheetView workbookViewId="0" showGridLines="0"/>
  </sheetViews>
  <sheetFormatPr defaultRowHeight="15"/>
  <cols>
    <col min="1" max="1" width="29.50" customWidth="1"/>
    <col min="2" max="2" width="18.70" customWidth="1"/>
    <col min="3" max="3" width="17.62" customWidth="1"/>
    <col min="4" max="4" width="25.18" customWidth="1"/>
    <col min="5" max="5" width="17.62" customWidth="1"/>
    <col min="6" max="6" width="38.14" customWidth="1"/>
  </cols>
  <sheetData>
    <row r="1" ht="17" customHeight="1">
      <c r="A1" s="1" t="inlineStr">
        <is>
          <t xml:space="preserve">Все результаты</t>
        </is>
      </c>
      <c r="B1" s="1"/>
      <c r="C1" s="1"/>
      <c r="D1" s="1"/>
      <c r="E1" s="1"/>
      <c r="F1" s="1"/>
    </row>
    <row r="2" ht="17" customHeight="1">
      <c r="A2" s="10" t="inlineStr">
        <is>
          <t xml:space="preserve">Всё посчитано по данным с листа «2. Мои данные». Таблицы можно копировать прямо в диплом.</t>
        </is>
      </c>
    </row>
    <row r="4" ht="17" customHeight="1">
      <c r="A4" s="2" t="inlineStr">
        <is>
          <t xml:space="preserve">Главный результат</t>
        </is>
      </c>
      <c r="B4" s="2"/>
      <c r="C4" s="2"/>
      <c r="D4" s="2"/>
      <c r="E4" s="2"/>
      <c r="F4" s="2"/>
    </row>
    <row r="5" ht="17" customHeight="1">
      <c r="A5" s="3" t="inlineStr">
        <is>
          <t xml:space="preserve">Показатель</t>
        </is>
      </c>
      <c r="B5" s="16" t="str">
        <f>IF(Показатель="","—",Показатель)</f>
      </c>
      <c r="C5" s="16"/>
      <c r="D5" s="16"/>
      <c r="E5" s="16"/>
      <c r="F5" s="16"/>
    </row>
    <row r="6" ht="17" customHeight="1">
      <c r="A6" s="3" t="inlineStr">
        <is>
          <t xml:space="preserve">Какой критерий применён</t>
        </is>
      </c>
      <c r="B6" s="16" t="str">
        <f>IF('23. Расчёты'!$B$2=0,"—",'23. Расчёты'!$B$49)</f>
      </c>
      <c r="C6" s="16"/>
      <c r="D6" s="16"/>
      <c r="E6" s="16"/>
      <c r="F6" s="16"/>
    </row>
    <row r="7" ht="17" customHeight="1">
      <c r="A7" s="3" t="inlineStr">
        <is>
          <t xml:space="preserve">Почему именно он</t>
        </is>
      </c>
      <c r="B7" s="16" t="str">
        <f>IF('23. Расчёты'!$B$2=0,"—",'23. Расчёты'!$B$52)</f>
      </c>
      <c r="C7" s="16"/>
      <c r="D7" s="16"/>
      <c r="E7" s="16"/>
      <c r="F7" s="16"/>
    </row>
    <row r="8" ht="17" customHeight="1">
      <c r="A8" s="3" t="inlineStr">
        <is>
          <t xml:space="preserve">Значение критерия</t>
        </is>
      </c>
      <c r="B8" s="16" t="str">
        <f>IF(OR('23. Расчёты'!$B$2=0,'23. Расчёты'!$B$50=""),"—",FIXED('23. Расчёты'!$B$50,3,TRUE))</f>
      </c>
      <c r="C8" s="16"/>
      <c r="D8" s="16"/>
      <c r="E8" s="16"/>
      <c r="F8" s="16"/>
    </row>
    <row r="9" ht="17" customHeight="1">
      <c r="A9" s="3" t="inlineStr">
        <is>
          <t xml:space="preserve">Уровень значимости p</t>
        </is>
      </c>
      <c r="B9" s="16" t="str">
        <f>IF(OR('23. Расчёты'!$B$2=0,'23. Расчёты'!$B$51=""),"—",IF('23. Расчёты'!$B$51&lt;0.001,"&lt; 0,001",FIXED('23. Расчёты'!$B$51,3,TRUE)))</f>
      </c>
      <c r="C9" s="16"/>
      <c r="D9" s="16"/>
      <c r="E9" s="16"/>
      <c r="F9" s="16"/>
    </row>
    <row r="10" ht="17" customHeight="1">
      <c r="A10" s="3" t="inlineStr">
        <is>
          <t xml:space="preserve">Вывод</t>
        </is>
      </c>
      <c r="B10" s="16" t="str">
        <f>IF(OR('23. Расчёты'!$B$2=0,'23. Расчёты'!$B$51=""),"—",IF('23. Расчёты'!$B$51&lt;0.05,"различия достоверны","различий не выявлено"))</f>
      </c>
      <c r="C10" s="16"/>
      <c r="D10" s="16"/>
      <c r="E10" s="16"/>
      <c r="F10" s="16"/>
    </row>
    <row r="12" ht="17" customHeight="1">
      <c r="A12" s="2" t="inlineStr">
        <is>
          <t xml:space="preserve">Таблица 1. Описательная статистика</t>
        </is>
      </c>
      <c r="B12" s="2"/>
      <c r="C12" s="2"/>
      <c r="D12" s="2"/>
      <c r="E12" s="2"/>
      <c r="F12" s="2"/>
    </row>
    <row r="13" ht="17" customHeight="1">
      <c r="A13" s="9" t="inlineStr">
        <is>
          <t xml:space="preserve">Выборка</t>
        </is>
      </c>
      <c r="B13" s="9" t="inlineStr">
        <is>
          <t xml:space="preserve">n</t>
        </is>
      </c>
      <c r="C13" s="9" t="inlineStr">
        <is>
          <t xml:space="preserve">M ± m</t>
        </is>
      </c>
      <c r="D13" s="9" t="inlineStr">
        <is>
          <t xml:space="preserve">σ</t>
        </is>
      </c>
      <c r="E13" s="9" t="inlineStr">
        <is>
          <t xml:space="preserve">Медиана</t>
        </is>
      </c>
      <c r="F13" s="9" t="inlineStr">
        <is>
          <t xml:space="preserve">Мин – Макс</t>
        </is>
      </c>
    </row>
    <row r="14" ht="17" customHeight="1">
      <c r="A14" s="6" t="str">
        <f>Метка1</f>
      </c>
      <c r="B14" s="13">
        <f>IF('23. Расчёты'!$B$2=0,"",'23. Расчёты'!$B$2)</f>
      </c>
      <c r="C14" s="6" t="str">
        <f>IF('23. Расчёты'!$B$2=0,"—",FIXED('23. Расчёты'!$B$4,2,TRUE)&amp;" ± "&amp;FIXED('23. Расчёты'!$B$8,2,TRUE))</f>
      </c>
      <c r="D14" s="7">
        <f>IF('23. Расчёты'!$B$2=0,"",'23. Расчёты'!$B$6)</f>
      </c>
      <c r="E14" s="7">
        <f>IF('23. Расчёты'!$B$2=0,"",MEDIAN(Выборка1))</f>
      </c>
      <c r="F14" s="6" t="str">
        <f>IF('23. Расчёты'!$B$2=0,"—",FIXED(MIN(Выборка1),2,TRUE)&amp;" – "&amp;FIXED(MAX(Выборка1),2,TRUE))</f>
      </c>
    </row>
    <row r="15" ht="17" customHeight="1">
      <c r="A15" s="6" t="str">
        <f>Метка2</f>
      </c>
      <c r="B15" s="13">
        <f>IF('23. Расчёты'!$B$3=0,"",'23. Расчёты'!$B$3)</f>
      </c>
      <c r="C15" s="6" t="str">
        <f>IF('23. Расчёты'!$B$3=0,"—",FIXED('23. Расчёты'!$B$5,2,TRUE)&amp;" ± "&amp;FIXED('23. Расчёты'!$B$9,2,TRUE))</f>
      </c>
      <c r="D15" s="7">
        <f>IF('23. Расчёты'!$B$3=0,"",'23. Расчёты'!$B$7)</f>
      </c>
      <c r="E15" s="7">
        <f>IF('23. Расчёты'!$B$3=0,"",MEDIAN(Выборка2))</f>
      </c>
      <c r="F15" s="6" t="str">
        <f>IF('23. Расчёты'!$B$3=0,"—",FIXED(MIN(Выборка2),2,TRUE)&amp;" – "&amp;FIXED(MAX(Выборка2),2,TRUE))</f>
      </c>
    </row>
    <row r="17" ht="17" customHeight="1">
      <c r="A17" s="2" t="inlineStr">
        <is>
          <t xml:space="preserve">Таблица 2. Проверка распределения</t>
        </is>
      </c>
      <c r="B17" s="2"/>
      <c r="C17" s="2"/>
      <c r="D17" s="2"/>
      <c r="E17" s="2"/>
      <c r="F17" s="2"/>
    </row>
    <row r="18" ht="17" customHeight="1">
      <c r="A18" s="9" t="inlineStr">
        <is>
          <t xml:space="preserve">Что проверяем</t>
        </is>
      </c>
      <c r="B18" s="9" t="inlineStr">
        <is>
          <t xml:space="preserve">Асимметрия</t>
        </is>
      </c>
      <c r="C18" s="9" t="inlineStr">
        <is>
          <t xml:space="preserve">Ошибка A</t>
        </is>
      </c>
      <c r="D18" s="9" t="inlineStr">
        <is>
          <t xml:space="preserve">Эксцесс</t>
        </is>
      </c>
      <c r="E18" s="9" t="inlineStr">
        <is>
          <t xml:space="preserve">Ошибка E</t>
        </is>
      </c>
      <c r="F18" s="9" t="inlineStr">
        <is>
          <t xml:space="preserve">Вывод</t>
        </is>
      </c>
    </row>
    <row r="19" ht="17" customHeight="1">
      <c r="A19" s="6" t="str">
        <f>IF('23. Расчёты'!$B$46=1,"разности «до минус после»","значения выборки")</f>
      </c>
      <c r="B19" s="8">
        <f>IF(IF('23. Расчёты'!$B$46=1,'23. Расчёты'!$B$23,'23. Расчёты'!$B$10)="","",IF('23. Расчёты'!$B$46=1,'23. Расчёты'!$B$23,'23. Расчёты'!$B$10))</f>
      </c>
      <c r="C19" s="8">
        <f>IF(IF('23. Расчёты'!$B$46=1,'23. Расчёты'!$B$24,'23. Расчёты'!$B$11)="","",IF('23. Расчёты'!$B$46=1,'23. Расчёты'!$B$24,'23. Расчёты'!$B$11))</f>
      </c>
      <c r="D19" s="8">
        <f>IF(IF('23. Расчёты'!$B$46=1,'23. Расчёты'!$B$25,'23. Расчёты'!$B$12)="","",IF('23. Расчёты'!$B$46=1,'23. Расчёты'!$B$25,'23. Расчёты'!$B$12))</f>
      </c>
      <c r="E19" s="8">
        <f>IF(IF('23. Расчёты'!$B$46=1,'23. Расчёты'!$B$26,'23. Расчёты'!$B$13)="","",IF('23. Расчёты'!$B$46=1,'23. Расчёты'!$B$26,'23. Расчёты'!$B$13))</f>
      </c>
      <c r="F19" s="6" t="str">
        <f>IF('23. Расчёты'!$B$2=0,"—",IF('23. Расчёты'!$B$48=1,"шкала порядковая — не проверяется",IF('23. Расчёты'!$B$47=1,"близко к нормальному","отклоняется от нормального")))</f>
      </c>
    </row>
    <row r="21" ht="17" customHeight="1">
      <c r="A21" s="2" t="inlineStr">
        <is>
          <t xml:space="preserve">Таблица 3. Достоверность различий</t>
        </is>
      </c>
      <c r="B21" s="2"/>
      <c r="C21" s="2"/>
      <c r="D21" s="2"/>
      <c r="E21" s="2"/>
      <c r="F21" s="2"/>
    </row>
    <row r="22" ht="17" customHeight="1">
      <c r="A22" s="9" t="inlineStr">
        <is>
          <t xml:space="preserve">Показатель</t>
        </is>
      </c>
      <c r="B22" s="9" t="inlineStr">
        <is>
          <t xml:space="preserve">Ед.</t>
        </is>
      </c>
      <c r="C22" s="9" t="inlineStr">
        <is>
          <t xml:space="preserve">Изменение</t>
        </is>
      </c>
      <c r="D22" s="9" t="inlineStr">
        <is>
          <t xml:space="preserve">Критерий</t>
        </is>
      </c>
      <c r="E22" s="9" t="inlineStr">
        <is>
          <t xml:space="preserve">Значение</t>
        </is>
      </c>
      <c r="F22" s="9" t="inlineStr">
        <is>
          <t xml:space="preserve">p</t>
        </is>
      </c>
    </row>
    <row r="23" ht="17" customHeight="1">
      <c r="A23" s="6" t="str">
        <f>IF(Показатель="","—",Показатель)</f>
      </c>
      <c r="B23" s="6" t="str">
        <f>Единицы</f>
      </c>
      <c r="C23" s="6" t="str">
        <f>IF(OR('23. Расчёты'!$B$2=0,'23. Расчёты'!$B$55=""),"—",IF('23. Расчёты'!$B$55&gt;0,"+","")&amp;FIXED('23. Расчёты'!$B$55,2,TRUE)&amp;IF('23. Расчёты'!$B$56="",""," ("&amp;FIXED(ABS('23. Расчёты'!$B$56)*100,1,TRUE)&amp;"%)"))</f>
      </c>
      <c r="D23" s="6" t="str">
        <f>IF('23. Расчёты'!$B$2=0,"—",'23. Расчёты'!$B$49)</f>
      </c>
      <c r="E23" s="6" t="str">
        <f>IF(OR('23. Расчёты'!$B$2=0,'23. Расчёты'!$B$50=""),"—",FIXED('23. Расчёты'!$B$50,2,TRUE))</f>
      </c>
      <c r="F23" s="6" t="str">
        <f>IF(OR('23. Расчёты'!$B$2=0,'23. Расчёты'!$B$51=""),"—",IF('23. Расчёты'!$B$51&lt;0.001,"&lt; 0,001",FIXED('23. Расчёты'!$B$51,3,TRUE)))</f>
      </c>
    </row>
    <row r="25" ht="17" customHeight="1">
      <c r="A25" s="2" t="inlineStr">
        <is>
          <t xml:space="preserve">Готовый вывод для третьей главы</t>
        </is>
      </c>
      <c r="B25" s="2"/>
      <c r="C25" s="2"/>
      <c r="D25" s="2"/>
      <c r="E25" s="2"/>
      <c r="F25" s="2"/>
    </row>
    <row r="26" ht="34" customHeight="1">
      <c r="A26" s="11" t="str">
        <f>IF(OR('23. Расчёты'!$B$2=0,'23. Расчёты'!$B$51=""),"Заполните данные на листе «2. Мои данные».",IF('23. Расчёты'!$B$51&lt;0.05,IF('23. Расчёты'!$B$46=1,"После эксперимента показатель «"&amp;Показатель&amp;"» достоверно "&amp;IF('23. Расчёты'!$B$55&gt;0,"увеличился","снизился")&amp;" с "&amp;FIXED('23. Расчёты'!$B$4,2,TRUE)&amp;" ± "&amp;FIXED('23. Расчёты'!$B$8,2,TRUE)&amp;" до "&amp;FIXED('23. Расчёты'!$B$5,2,TRUE)&amp;" ± "&amp;FIXED('23. Расчёты'!$B$9,2,TRUE)&amp;" "&amp;Единицы&amp;" ("&amp;'23. Расчёты'!$B$49&amp;" = "&amp;FIXED('23. Расчёты'!$B$50,2,TRUE)&amp;", "&amp;IF('23. Расчёты'!$B$51&lt;0.001,"p &lt; 0,001","p = "&amp;FIXED('23. Расчёты'!$B$51,3,TRUE))&amp;"). Нулевая гипотеза отвергается: изменения статистически значимы.","Показатель «"&amp;Показатель&amp;"» в группе «"&amp;Метка2&amp;"» ("&amp;FIXED('23. Расчёты'!$B$5,2,TRUE)&amp;" ± "&amp;FIXED('23. Расчёты'!$B$9,2,TRUE)&amp;" "&amp;Единицы&amp;") достоверно отличается от группы «"&amp;Метка1&amp;"» ("&amp;FIXED('23. Расчёты'!$B$4,2,TRUE)&amp;" ± "&amp;FIXED('23. Расчёты'!$B$8,2,TRUE)&amp;" "&amp;Единицы&amp;"), "&amp;'23. Расчёты'!$B$49&amp;" = "&amp;FIXED('23. Расчёты'!$B$50,2,TRUE)&amp;", "&amp;IF('23. Расчёты'!$B$51&lt;0.001,"p &lt; 0,001","p = "&amp;FIXED('23. Расчёты'!$B$51,3,TRUE))&amp;". Нулевая гипотеза отвергается."),IF('23. Расчёты'!$B$46=1,"Показатель «"&amp;Показатель&amp;"» изменился с "&amp;FIXED('23. Расчёты'!$B$4,2,TRUE)&amp;" ± "&amp;FIXED('23. Расчёты'!$B$8,2,TRUE)&amp;" до "&amp;FIXED('23. Расчёты'!$B$5,2,TRUE)&amp;" ± "&amp;FIXED('23. Расчёты'!$B$9,2,TRUE)&amp;" "&amp;Единицы&amp;", однако различия статистически недостоверны ("&amp;'23. Расчёты'!$B$49&amp;" = "&amp;FIXED('23. Расчёты'!$B$50,2,TRUE)&amp;", "&amp;IF('23. Расчёты'!$B$51&lt;0.001,"p &lt; 0,001","p = "&amp;FIXED('23. Расчёты'!$B$51,3,TRUE))&amp;"). Нулевая гипотеза принимается: изменения носят случайный характер.","Показатель «"&amp;Показатель&amp;"» в группах «"&amp;Метка1&amp;"» ("&amp;FIXED('23. Расчёты'!$B$4,2,TRUE)&amp;" ± "&amp;FIXED('23. Расчёты'!$B$8,2,TRUE)&amp;") и «"&amp;Метка2&amp;"» ("&amp;FIXED('23. Расчёты'!$B$5,2,TRUE)&amp;" ± "&amp;FIXED('23. Расчёты'!$B$9,2,TRUE)&amp;") "&amp;Единицы&amp;" достоверно не различается ("&amp;'23. Расчёты'!$B$49&amp;" = "&amp;FIXED('23. Расчёты'!$B$50,2,TRUE)&amp;", "&amp;IF('23. Расчёты'!$B$51&lt;0.001,"p &lt; 0,001","p = "&amp;FIXED('23. Расчёты'!$B$51,3,TRUE))&amp;"). Нулевая гипотеза принимается.")))</f>
      </c>
      <c r="B26" s="11"/>
      <c r="C26" s="11"/>
      <c r="D26" s="11"/>
      <c r="E26" s="11"/>
      <c r="F26" s="11"/>
    </row>
    <row r="28" ht="34" customHeight="1">
      <c r="A28" s="10" t="inlineStr">
        <is>
          <t xml:space="preserve">Для небольших выборок (до 20 человек) здесь используется нормальное приближение: точное значение p формулами Excel не считается. Классический вузовский критерий — сравнение с табличным значением на листе «22. Таблицы значений».</t>
        </is>
      </c>
    </row>
  </sheetData>
  <mergeCells count="15">
    <mergeCell ref="A1:F1"/>
    <mergeCell ref="A2:F2"/>
    <mergeCell ref="A4:F4"/>
    <mergeCell ref="B5:F5"/>
    <mergeCell ref="B6:F6"/>
    <mergeCell ref="B7:F7"/>
    <mergeCell ref="B8:F8"/>
    <mergeCell ref="B9:F9"/>
    <mergeCell ref="B10:F10"/>
    <mergeCell ref="A12:F12"/>
    <mergeCell ref="A17:F17"/>
    <mergeCell ref="A21:F21"/>
    <mergeCell ref="A25:F25"/>
    <mergeCell ref="A26:F26"/>
    <mergeCell ref="A28:F28"/>
  </mergeCell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AD47"/>
  </sheetPr>
  <sheetViews>
    <sheetView workbookViewId="0" showGridLines="0"/>
  </sheetViews>
  <sheetFormatPr defaultRowHeight="15"/>
  <cols>
    <col min="1" max="1" width="34.00" customWidth="1"/>
    <col min="2" max="2" width="25.18" customWidth="1"/>
    <col min="3" max="3" width="62.00" customWidth="1"/>
  </cols>
  <sheetData>
    <row r="1" ht="17" customHeight="1">
      <c r="A1" s="1" t="inlineStr">
        <is>
          <t xml:space="preserve">Описательная статистика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Описательная статистика — это «портрет» вашей выборки в цифрах: где её центр и насколько сильно значения разбросаны вокруг него.</t>
        </is>
      </c>
    </row>
    <row r="5" ht="34" customHeight="1">
      <c r="A5" s="10" t="inlineStr">
        <is>
          <t xml:space="preserve">С неё начинается третья глава любого диплома: сначала описываем, что получили, и только потом сравниваем группы.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34" customHeight="1">
      <c r="A8" s="10" t="inlineStr">
        <is>
          <t xml:space="preserve">Нужна всегда и для любых данных — и для измерений в сантиметрах, и для баллов теста.</t>
        </is>
      </c>
    </row>
    <row r="9" ht="49" customHeight="1">
      <c r="A9" s="10" t="inlineStr">
        <is>
          <t xml:space="preserve">Для баллов теста (порядковая шкала) корректнее описывать медианой и квартилями, а не средним: среднее по баллам формально считать некорректно, хотя в дипломах его обычно приводят.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Количество</t>
        </is>
      </c>
      <c r="B12" s="12" t="str">
        <f>"=СЧЁТ("&amp;"B12:B131"&amp;")"</f>
      </c>
    </row>
    <row r="13" ht="17" customHeight="1">
      <c r="A13" s="3" t="inlineStr">
        <is>
          <t xml:space="preserve">Среднее</t>
        </is>
      </c>
      <c r="B13" s="12" t="str">
        <f>"=СРЗНАЧ("&amp;"B12:B131"&amp;")"</f>
      </c>
    </row>
    <row r="14" ht="17" customHeight="1">
      <c r="A14" s="3" t="inlineStr">
        <is>
          <t xml:space="preserve">Медиана</t>
        </is>
      </c>
      <c r="B14" s="12" t="str">
        <f>"=МЕДИАНА("&amp;"B12:B131"&amp;")"</f>
      </c>
    </row>
    <row r="15" ht="17" customHeight="1">
      <c r="A15" s="3" t="inlineStr">
        <is>
          <t xml:space="preserve">Мода</t>
        </is>
      </c>
      <c r="B15" s="12" t="str">
        <f>"=МОДА("&amp;"B12:B131"&amp;")"</f>
      </c>
    </row>
    <row r="16" ht="17" customHeight="1">
      <c r="A16" s="3" t="inlineStr">
        <is>
          <t xml:space="preserve">Минимум</t>
        </is>
      </c>
      <c r="B16" s="12" t="str">
        <f>"=МИН("&amp;"B12:B131"&amp;")"</f>
      </c>
    </row>
    <row r="17" ht="17" customHeight="1">
      <c r="A17" s="3" t="inlineStr">
        <is>
          <t xml:space="preserve">Максимум</t>
        </is>
      </c>
      <c r="B17" s="12" t="str">
        <f>"=МАКС("&amp;"B12:B131"&amp;")"</f>
      </c>
    </row>
    <row r="18" ht="17" customHeight="1">
      <c r="A18" s="3" t="inlineStr">
        <is>
          <t xml:space="preserve">Первый квартиль</t>
        </is>
      </c>
      <c r="B18" s="12" t="str">
        <f>"=КВАРТИЛЬ("&amp;"B12:B131"&amp;";1)"</f>
      </c>
    </row>
    <row r="19" ht="17" customHeight="1">
      <c r="A19" s="3" t="inlineStr">
        <is>
          <t xml:space="preserve">Третий квартиль</t>
        </is>
      </c>
      <c r="B19" s="12" t="str">
        <f>"=КВАРТИЛЬ("&amp;"B12:B131"&amp;";3)"</f>
      </c>
    </row>
    <row r="21" ht="17" customHeight="1">
      <c r="A21" s="2" t="inlineStr">
        <is>
          <t xml:space="preserve">Ваш расчёт</t>
        </is>
      </c>
      <c r="B21" s="2"/>
      <c r="C21" s="2"/>
    </row>
    <row r="22" ht="17" customHeight="1">
      <c r="A22" s="3" t="inlineStr">
        <is>
          <t xml:space="preserve">Количество (n)</t>
        </is>
      </c>
      <c r="B22" s="13">
        <f>COUNT(Выборка1)</f>
      </c>
    </row>
    <row r="23" ht="17" customHeight="1">
      <c r="A23" s="3" t="inlineStr">
        <is>
          <t xml:space="preserve">Среднее (M)</t>
        </is>
      </c>
      <c r="B23" s="7">
        <f>IF(COUNT(Выборка1)=0,"—",AVERAGE(Выборка1))</f>
      </c>
    </row>
    <row r="24" ht="17" customHeight="1">
      <c r="A24" s="3" t="inlineStr">
        <is>
          <t xml:space="preserve">Медиана (Me)</t>
        </is>
      </c>
      <c r="B24" s="7">
        <f>IF(COUNT(Выборка1)=0,"—",MEDIAN(Выборка1))</f>
      </c>
    </row>
    <row r="25" ht="17" customHeight="1">
      <c r="A25" s="3" t="inlineStr">
        <is>
          <t xml:space="preserve">Мода (Mo)</t>
        </is>
      </c>
      <c r="B25" s="7">
        <f>IFERROR(MODE(Выборка1),"нет повторов")</f>
      </c>
    </row>
    <row r="26" ht="17" customHeight="1">
      <c r="A26" s="3" t="inlineStr">
        <is>
          <t xml:space="preserve">Минимум</t>
        </is>
      </c>
      <c r="B26" s="7">
        <f>IF(COUNT(Выборка1)=0,"—",MIN(Выборка1))</f>
      </c>
    </row>
    <row r="27" ht="17" customHeight="1">
      <c r="A27" s="3" t="inlineStr">
        <is>
          <t xml:space="preserve">Максимум</t>
        </is>
      </c>
      <c r="B27" s="7">
        <f>IF(COUNT(Выборка1)=0,"—",MAX(Выборка1))</f>
      </c>
    </row>
    <row r="28" ht="17" customHeight="1">
      <c r="A28" s="3" t="inlineStr">
        <is>
          <t xml:space="preserve">Размах</t>
        </is>
      </c>
      <c r="B28" s="7">
        <f>IF(COUNT(Выборка1)=0,"—",MAX(Выборка1)-MIN(Выборка1))</f>
      </c>
    </row>
    <row r="29" ht="17" customHeight="1">
      <c r="A29" s="3" t="inlineStr">
        <is>
          <t xml:space="preserve">Первый квартиль (Q1)</t>
        </is>
      </c>
      <c r="B29" s="7">
        <f>IF(COUNT(Выборка1)=0,"—",QUARTILE(Выборка1,1))</f>
      </c>
    </row>
    <row r="30" ht="17" customHeight="1">
      <c r="A30" s="3" t="inlineStr">
        <is>
          <t xml:space="preserve">Третий квартиль (Q3)</t>
        </is>
      </c>
      <c r="B30" s="7">
        <f>IF(COUNT(Выборка1)=0,"—",QUARTILE(Выборка1,3))</f>
      </c>
    </row>
    <row r="31" ht="17" customHeight="1">
      <c r="A31" s="3" t="inlineStr">
        <is>
          <t xml:space="preserve">Стандартное отклонение (σ)</t>
        </is>
      </c>
      <c r="B31" s="7">
        <f>IF(COUNT(Выборка1)&lt;2,"—",STDEV(Выборка1))</f>
      </c>
    </row>
    <row r="32" ht="17" customHeight="1">
      <c r="A32" s="3" t="inlineStr">
        <is>
          <t xml:space="preserve">Ошибка среднего (m)</t>
        </is>
      </c>
      <c r="B32" s="7">
        <f>IF(COUNT(Выборка1)&lt;2,"—",STDEV(Выборка1)/SQRT(COUNT(Выборка1)))</f>
      </c>
    </row>
    <row r="34" ht="17" customHeight="1">
      <c r="A34" s="2" t="inlineStr">
        <is>
          <t xml:space="preserve">Вывод для диплома</t>
        </is>
      </c>
      <c r="B34" s="2"/>
      <c r="C34" s="2"/>
    </row>
    <row r="35" ht="34" customHeight="1">
      <c r="A35" s="11" t="str">
        <f>IF(COUNT(Выборка1)=0,"Заполните данные на листе «Мои данные».","Среднее значение показателя «"&amp;Показатель&amp;"» составило "&amp;FIXED(AVERAGE(Выборка1),2,TRUE)&amp;" "&amp;Единицы&amp;" (M ± m = "&amp;FIXED(AVERAGE(Выборка1),2,TRUE)&amp;" ± "&amp;FIXED(STDEV(Выборка1)/SQRT(COUNT(Выборка1)),2,TRUE)&amp;"), медиана — "&amp;FIXED(MEDIAN(Выборка1),2,TRUE)&amp;" "&amp;Единицы&amp;".")</f>
      </c>
      <c r="B35" s="11"/>
      <c r="C35" s="11"/>
    </row>
    <row r="37" ht="17" customHeight="1">
      <c r="A37" s="2" t="inlineStr">
        <is>
          <t xml:space="preserve">Частые ошибки</t>
        </is>
      </c>
      <c r="B37" s="2"/>
      <c r="C37" s="2"/>
    </row>
    <row r="38" ht="49" customHeight="1">
      <c r="A38" s="10" t="inlineStr">
        <is>
          <t xml:space="preserve">Считают среднее по всему столбцу вместе с заголовком — Excel заголовок пропустит, но если в столбце есть посторонние числа, они попадут в расчёт.</t>
        </is>
      </c>
    </row>
    <row r="39" ht="34" customHeight="1">
      <c r="A39" s="10" t="inlineStr">
        <is>
          <t xml:space="preserve">Путают МОДА и МЕДИАНА: мода — самое частое значение, медиана — то, что стоит ровно посередине.</t>
        </is>
      </c>
    </row>
    <row r="40" ht="34" customHeight="1">
      <c r="A40" s="10" t="inlineStr">
        <is>
          <t xml:space="preserve">Округляют среднее до целых там, где нужны сотые. В дипломе принято два знака после запятой.</t>
        </is>
      </c>
    </row>
    <row r="41" ht="34" customHeight="1">
      <c r="A41" s="10" t="inlineStr">
        <is>
          <t xml:space="preserve">Приводят среднее без разброса. «M = 24,5» само по себе ни о чём не говорит — нужно «M ± m» или «M ± σ».</t>
        </is>
      </c>
    </row>
  </sheetData>
  <mergeCells count="16">
    <mergeCell ref="A1:C1"/>
    <mergeCell ref="A3:C3"/>
    <mergeCell ref="A4:C4"/>
    <mergeCell ref="A5:C5"/>
    <mergeCell ref="A7:C7"/>
    <mergeCell ref="A8:C8"/>
    <mergeCell ref="A9:C9"/>
    <mergeCell ref="A11:C11"/>
    <mergeCell ref="A21:C21"/>
    <mergeCell ref="A34:C34"/>
    <mergeCell ref="A35:C35"/>
    <mergeCell ref="A37:C37"/>
    <mergeCell ref="A38:C38"/>
    <mergeCell ref="A39:C39"/>
    <mergeCell ref="A40:C40"/>
    <mergeCell ref="A41:C41"/>
  </mergeCell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AD47"/>
  </sheetPr>
  <sheetViews>
    <sheetView workbookViewId="0" showGridLines="0"/>
  </sheetViews>
  <sheetFormatPr defaultRowHeight="15"/>
  <cols>
    <col min="1" max="1" width="40.30" customWidth="1"/>
    <col min="2" max="2" width="27.34" customWidth="1"/>
    <col min="3" max="3" width="52.00" customWidth="1"/>
  </cols>
  <sheetData>
    <row r="1" ht="17" customHeight="1">
      <c r="A1" s="1" t="inlineStr">
        <is>
          <t xml:space="preserve">Отклонение и дисперсия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Стандартное отклонение показывает, насколько в среднем значения разбросаны вокруг среднего. Маленькое — группа однородная, большое — очень разные люди.</t>
        </is>
      </c>
    </row>
    <row r="5" ht="34" customHeight="1">
      <c r="A5" s="10" t="inlineStr">
        <is>
          <t xml:space="preserve">Дисперсия — то же самое, только возведённое в квадрат. В выводах диплома обычно приводят именно отклонение: оно в тех же единицах, что и сам показатель.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Всегда рядом со средним. Среднее без отклонения — это половина информации.</t>
        </is>
      </c>
    </row>
    <row r="9" ht="34" customHeight="1">
      <c r="A9" s="10" t="inlineStr">
        <is>
          <t xml:space="preserve">Главный вопрос: СТАНДОТКЛОН или СТАНДОТКЛОНП? Если ваши данные — выборка (а в дипломе это почти всегда так), нужен СТАНДОТКЛОН. СТАНДОТКЛОНП берут, только если вы измерили вообще всех, кого изучаете.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Стандартное отклонение</t>
        </is>
      </c>
      <c r="B12" s="12" t="str">
        <f>"=СТАНДОТКЛОН("&amp;"B12:B131"&amp;")"</f>
      </c>
      <c r="C12" s="10" t="inlineStr">
        <is>
          <t xml:space="preserve">для выборки — этот вариант вам и нужен</t>
        </is>
      </c>
    </row>
    <row r="13" ht="17" customHeight="1">
      <c r="A13" s="3" t="inlineStr">
        <is>
          <t xml:space="preserve">Отклонение генеральной совокупности</t>
        </is>
      </c>
      <c r="B13" s="12" t="str">
        <f>"=СТАНДОТКЛОНП("&amp;"B12:B131"&amp;")"</f>
      </c>
      <c r="C13" s="10" t="inlineStr">
        <is>
          <t xml:space="preserve">только если измерены все до одного</t>
        </is>
      </c>
    </row>
    <row r="14" ht="17" customHeight="1">
      <c r="A14" s="3" t="inlineStr">
        <is>
          <t xml:space="preserve">Дисперсия</t>
        </is>
      </c>
      <c r="B14" s="12" t="str">
        <f>"=ДИСП("&amp;"B12:B131"&amp;")"</f>
      </c>
    </row>
    <row r="16" ht="17" customHeight="1">
      <c r="A16" s="2" t="inlineStr">
        <is>
          <t xml:space="preserve">Ваш расчёт</t>
        </is>
      </c>
      <c r="B16" s="2"/>
      <c r="C16" s="2"/>
    </row>
    <row r="17" ht="17" customHeight="1">
      <c r="A17" s="3" t="inlineStr">
        <is>
          <t xml:space="preserve">Количество (n)</t>
        </is>
      </c>
      <c r="B17" s="13">
        <f>COUNT(Выборка1)</f>
      </c>
    </row>
    <row r="18" ht="17" customHeight="1">
      <c r="A18" s="3" t="inlineStr">
        <is>
          <t xml:space="preserve">Среднее (M)</t>
        </is>
      </c>
      <c r="B18" s="7">
        <f>IF(COUNT(Выборка1)=0,"—",AVERAGE(Выборка1))</f>
      </c>
    </row>
    <row r="19" ht="17" customHeight="1">
      <c r="A19" s="3" t="inlineStr">
        <is>
          <t xml:space="preserve">Стандартное отклонение (σ)</t>
        </is>
      </c>
      <c r="B19" s="7">
        <f>IF(COUNT(Выборка1)&lt;2,"—",STDEV(Выборка1))</f>
      </c>
    </row>
    <row r="20" ht="17" customHeight="1">
      <c r="A20" s="3" t="inlineStr">
        <is>
          <t xml:space="preserve">Дисперсия (σ²)</t>
        </is>
      </c>
      <c r="B20" s="7">
        <f>IF(COUNT(Выборка1)&lt;2,"—",VAR(Выборка1))</f>
      </c>
    </row>
    <row r="21" ht="17" customHeight="1">
      <c r="A21" s="3" t="inlineStr">
        <is>
          <t xml:space="preserve">Отклонение по ген. совокупности</t>
        </is>
      </c>
      <c r="B21" s="7">
        <f>IF(COUNT(Выборка1)&lt;2,"—",STDEVP(Выборка1))</f>
      </c>
      <c r="C21" s="10" t="inlineStr">
        <is>
          <t xml:space="preserve">для сравнения — обычно НЕ нужно</t>
        </is>
      </c>
    </row>
    <row r="22" ht="17" customHeight="1">
      <c r="A22" s="3" t="inlineStr">
        <is>
          <t xml:space="preserve">Сколько человек в пределах ±1σ</t>
        </is>
      </c>
      <c r="B22" s="13">
        <f>IF(COUNT(Выборка1)&lt;2,"—",COUNTIFS(Выборка1,"&gt;="&amp;AVERAGE(Выборка1)-STDEV(Выборка1),Выборка1,"&lt;="&amp;AVERAGE(Выборка1)+STDEV(Выборка1)))</f>
      </c>
      <c r="C22" s="10" t="inlineStr">
        <is>
          <t xml:space="preserve">при нормальном распределении около 68%</t>
        </is>
      </c>
    </row>
    <row r="24" ht="17" customHeight="1">
      <c r="A24" s="2" t="inlineStr">
        <is>
          <t xml:space="preserve">Вывод для диплома</t>
        </is>
      </c>
      <c r="B24" s="2"/>
      <c r="C24" s="2"/>
    </row>
    <row r="25" ht="17" customHeight="1">
      <c r="A25" s="11" t="str">
        <f>IF(COUNT(Выборка1)&lt;2,"Нужно хотя бы два значения.","Разброс значений показателя «"&amp;Показатель&amp;"» составил σ = "&amp;FIXED(STDEV(Выборка1),2,TRUE)&amp;" "&amp;Единицы&amp;IF(STDEV(Выборка1)/ABS(AVERAGE(Выборка1))&lt;0.1," — выборка однородная."," — разброс значительный, выборка неоднородная."))</f>
      </c>
      <c r="B25" s="11"/>
      <c r="C25" s="11"/>
    </row>
    <row r="27" ht="17" customHeight="1">
      <c r="A27" s="2" t="inlineStr">
        <is>
          <t xml:space="preserve">Частые ошибки</t>
        </is>
      </c>
      <c r="B27" s="2"/>
      <c r="C27" s="2"/>
    </row>
    <row r="28" ht="17" customHeight="1">
      <c r="A28" s="10" t="inlineStr">
        <is>
          <t xml:space="preserve">Берут СТАНДОТКЛОНП вместо СТАНДОТКЛОН. На маленькой выборке разница заметная, и научный руководитель это увидит.</t>
        </is>
      </c>
    </row>
    <row r="29" ht="34" customHeight="1">
      <c r="A29" s="10" t="inlineStr">
        <is>
          <t xml:space="preserve">Пишут в диплом дисперсию вместо отклонения. Дисперсия измеряется в квадратных единицах — «квадратных сантиметрах роста», что бессмысленно.</t>
        </is>
      </c>
    </row>
    <row r="30" ht="17" customHeight="1">
      <c r="A30" s="10" t="inlineStr">
        <is>
          <t xml:space="preserve">Сравнивают отклонения двух показателей с разными единицами. Для этого есть коэффициент вариации — он в процентах.</t>
        </is>
      </c>
    </row>
  </sheetData>
  <mergeCells count="15">
    <mergeCell ref="A1:C1"/>
    <mergeCell ref="A3:C3"/>
    <mergeCell ref="A4:C4"/>
    <mergeCell ref="A5:C5"/>
    <mergeCell ref="A7:C7"/>
    <mergeCell ref="A8:C8"/>
    <mergeCell ref="A9:C9"/>
    <mergeCell ref="A11:C11"/>
    <mergeCell ref="A16:C16"/>
    <mergeCell ref="A24:C24"/>
    <mergeCell ref="A25:C25"/>
    <mergeCell ref="A27:C27"/>
    <mergeCell ref="A28:C28"/>
    <mergeCell ref="A29:C29"/>
    <mergeCell ref="A30:C30"/>
  </mergeCell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AD47"/>
  </sheetPr>
  <sheetViews>
    <sheetView workbookViewId="0" showGridLines="0"/>
  </sheetViews>
  <sheetFormatPr defaultRowHeight="15"/>
  <cols>
    <col min="1" max="1" width="34.00" customWidth="1"/>
    <col min="2" max="2" width="51.10" customWidth="1"/>
    <col min="3" max="3" width="62.00" customWidth="1"/>
  </cols>
  <sheetData>
    <row r="1" ht="17" customHeight="1">
      <c r="A1" s="1" t="inlineStr">
        <is>
          <t xml:space="preserve">Ошибка среднего и вариация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Ошибка среднего (m) показывает, насколько точно вы определили среднее. Именно она стоит в записи «M ± m», которую ждут в таблицах диплома.</t>
        </is>
      </c>
    </row>
    <row r="5" ht="34" customHeight="1">
      <c r="A5" s="10" t="inlineStr">
        <is>
          <t xml:space="preserve">Коэффициент вариации (V) — это разброс в процентах от среднего. Он позволяет сравнивать разброс у показателей с разными единицами: рост в сантиметрах и вес в килограммах.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Ошибка среднего — в каждой таблице результатов.</t>
        </is>
      </c>
    </row>
    <row r="9" ht="34" customHeight="1">
      <c r="A9" s="10" t="inlineStr">
        <is>
          <t xml:space="preserve">Коэффициент вариации — когда надо оценить однородность группы: до 10% выборка однородная, 10–20% средняя однородность, свыше 20% группа разнородная.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Ошибка среднего</t>
        </is>
      </c>
      <c r="B12" s="12" t="str">
        <f>"=СТАНДОТКЛОН("&amp;"B12:B131"&amp;")/КОРЕНЬ(СЧЁТ("&amp;"B12:B131"&amp;"))"</f>
      </c>
    </row>
    <row r="13" ht="17" customHeight="1">
      <c r="A13" s="3" t="inlineStr">
        <is>
          <t xml:space="preserve">Коэффициент вариации, %</t>
        </is>
      </c>
      <c r="B13" s="12" t="str">
        <f>"=СТАНДОТКЛОН("&amp;"B12:B131"&amp;")/СРЗНАЧ("&amp;"B12:B131"&amp;")*100"</f>
      </c>
    </row>
    <row r="15" ht="17" customHeight="1">
      <c r="A15" s="2" t="inlineStr">
        <is>
          <t xml:space="preserve">Ваш расчёт</t>
        </is>
      </c>
      <c r="B15" s="2"/>
      <c r="C15" s="2"/>
    </row>
    <row r="16" ht="17" customHeight="1">
      <c r="A16" s="3" t="inlineStr">
        <is>
          <t xml:space="preserve">Количество (n)</t>
        </is>
      </c>
      <c r="B16" s="13">
        <f>COUNT(Выборка1)</f>
      </c>
    </row>
    <row r="17" ht="17" customHeight="1">
      <c r="A17" s="3" t="inlineStr">
        <is>
          <t xml:space="preserve">Среднее (M)</t>
        </is>
      </c>
      <c r="B17" s="7">
        <f>IF(COUNT(Выборка1)=0,"—",AVERAGE(Выборка1))</f>
      </c>
    </row>
    <row r="18" ht="17" customHeight="1">
      <c r="A18" s="3" t="inlineStr">
        <is>
          <t xml:space="preserve">Стандартное отклонение (σ)</t>
        </is>
      </c>
      <c r="B18" s="7">
        <f>IF(COUNT(Выборка1)&lt;2,"—",STDEV(Выборка1))</f>
      </c>
    </row>
    <row r="19" ht="17" customHeight="1">
      <c r="A19" s="3" t="inlineStr">
        <is>
          <t xml:space="preserve">Ошибка среднего (m)</t>
        </is>
      </c>
      <c r="B19" s="7">
        <f>IF(COUNT(Выборка1)&lt;2,"—",STDEV(Выборка1)/SQRT(COUNT(Выборка1)))</f>
      </c>
    </row>
    <row r="20" ht="17" customHeight="1">
      <c r="A20" s="3" t="inlineStr">
        <is>
          <t xml:space="preserve">Запись для таблицы</t>
        </is>
      </c>
      <c r="B20" s="6" t="str">
        <f>IF(COUNT(Выборка1)&lt;2,"—",FIXED(AVERAGE(Выборка1),2,TRUE)&amp;" ± "&amp;FIXED(STDEV(Выборка1)/SQRT(COUNT(Выборка1)),2,TRUE))</f>
      </c>
    </row>
    <row r="21" ht="17" customHeight="1">
      <c r="A21" s="3" t="inlineStr">
        <is>
          <t xml:space="preserve">Коэффициент вариации (V), %</t>
        </is>
      </c>
      <c r="B21" s="7">
        <f>IF(OR(COUNT(Выборка1)&lt;2,AVERAGE(Выборка1)=0),"—",STDEV(Выборка1)/ABS(AVERAGE(Выборка1))*100)</f>
      </c>
    </row>
    <row r="22" ht="17" customHeight="1">
      <c r="A22" s="3" t="inlineStr">
        <is>
          <t xml:space="preserve">Однородность выборки</t>
        </is>
      </c>
      <c r="B22" s="6" t="str">
        <f>IF(OR(COUNT(Выборка1)&lt;2,AVERAGE(Выборка1)=0),"—",IF(STDEV(Выборка1)/ABS(AVERAGE(Выборка1))*100&lt;10,"однородная",IF(STDEV(Выборка1)/ABS(AVERAGE(Выборка1))*100&lt;20,"средняя однородность","разнородная")))</f>
      </c>
    </row>
    <row r="24" ht="17" customHeight="1">
      <c r="A24" s="2" t="inlineStr">
        <is>
          <t xml:space="preserve">Вывод для диплома</t>
        </is>
      </c>
      <c r="B24" s="2"/>
      <c r="C24" s="2"/>
    </row>
    <row r="25" ht="34" customHeight="1">
      <c r="A25" s="11" t="str">
        <f>IF(OR(COUNT(Выборка1)&lt;2,AVERAGE(Выборка1)=0),"Нужно хотя бы два значения.","Показатель «"&amp;Показатель&amp;"»: M ± m = "&amp;FIXED(AVERAGE(Выборка1),2,TRUE)&amp;" ± "&amp;FIXED(STDEV(Выборка1)/SQRT(COUNT(Выборка1)),2,TRUE)&amp;" "&amp;Единицы&amp;", коэффициент вариации V = "&amp;FIXED(STDEV(Выборка1)/ABS(AVERAGE(Выборка1))*100,1,TRUE)&amp;"%, что говорит о "&amp;IF(STDEV(Выборка1)/ABS(AVERAGE(Выборка1))*100&lt;10,"высокой однородности группы",IF(STDEV(Выборка1)/ABS(AVERAGE(Выборка1))*100&lt;20,"средней однородности группы","значительной разнородности группы"))&amp;".")</f>
      </c>
      <c r="B25" s="11"/>
      <c r="C25" s="11"/>
    </row>
    <row r="27" ht="17" customHeight="1">
      <c r="A27" s="2" t="inlineStr">
        <is>
          <t xml:space="preserve">Частые ошибки</t>
        </is>
      </c>
      <c r="B27" s="2"/>
      <c r="C27" s="2"/>
    </row>
    <row r="28" ht="34" customHeight="1">
      <c r="A28" s="10" t="inlineStr">
        <is>
          <t xml:space="preserve">Путают ошибку среднего (m) и стандартное отклонение (σ). Ошибка всегда меньше — она делится на корень из n.</t>
        </is>
      </c>
    </row>
    <row r="29" ht="34" customHeight="1">
      <c r="A29" s="10" t="inlineStr">
        <is>
          <t xml:space="preserve">Пишут «M ± σ», но подписывают как «M ± m». В подписи к таблице обязательно указывайте, что именно после знака ±.</t>
        </is>
      </c>
    </row>
    <row r="30" ht="17" customHeight="1">
      <c r="A30" s="10" t="inlineStr">
        <is>
          <t xml:space="preserve">Считают коэффициент вариации при среднем около нуля — получается бессмысленно большое число.</t>
        </is>
      </c>
    </row>
  </sheetData>
  <mergeCells count="15">
    <mergeCell ref="A1:C1"/>
    <mergeCell ref="A3:C3"/>
    <mergeCell ref="A4:C4"/>
    <mergeCell ref="A5:C5"/>
    <mergeCell ref="A7:C7"/>
    <mergeCell ref="A8:C8"/>
    <mergeCell ref="A9:C9"/>
    <mergeCell ref="A11:C11"/>
    <mergeCell ref="A15:C15"/>
    <mergeCell ref="A24:C24"/>
    <mergeCell ref="A25:C25"/>
    <mergeCell ref="A27:C27"/>
    <mergeCell ref="A28:C28"/>
    <mergeCell ref="A29:C29"/>
    <mergeCell ref="A30:C30"/>
  </mergeCell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AD47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62.00" customWidth="1"/>
  </cols>
  <sheetData>
    <row r="1" ht="17" customHeight="1">
      <c r="A1" s="1" t="inlineStr">
        <is>
          <t xml:space="preserve">Доверительный интервал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Доверительный интервал — это диапазон, в котором с вероятностью 95% лежит истинное среднее всей генеральной совокупности, а не только вашей выборки.</t>
        </is>
      </c>
    </row>
    <row r="5" ht="34" customHeight="1">
      <c r="A5" s="10" t="inlineStr">
        <is>
          <t xml:space="preserve">Проще говоря: вы измерили 30 человек и получили среднее 24,5. Интервал показывает, каким было бы среднее, если бы вы измерили всех.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Когда нужно показать, насколько надёжно вы оценили средний результат.</t>
        </is>
      </c>
    </row>
    <row r="9" ht="34" customHeight="1">
      <c r="A9" s="10" t="inlineStr">
        <is>
          <t xml:space="preserve">Особенно полезен при небольшой выборке: чем меньше людей, тем шире интервал — и это честно видно.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34" customHeight="1">
      <c r="A12" s="3" t="inlineStr">
        <is>
          <t xml:space="preserve">Полуширина интервала</t>
        </is>
      </c>
      <c r="B12" s="12" t="str">
        <f>"=СТЬЮДРАСПОБР(0,05;СЧЁТ("&amp;"B12:B131"&amp;")-1)*СТАНДОТКЛОН("&amp;"B12:B131"&amp;")/КОРЕНЬ(СЧЁТ("&amp;"B12:B131"&amp;"))"</f>
      </c>
    </row>
    <row r="13" ht="17" customHeight="1">
      <c r="A13" s="3" t="inlineStr">
        <is>
          <t xml:space="preserve">Нижняя граница</t>
        </is>
      </c>
      <c r="B13" s="12" t="str">
        <f>"=СРЗНАЧ("&amp;"B12:B131"&amp;")-полуширина"</f>
      </c>
    </row>
    <row r="14" ht="17" customHeight="1">
      <c r="A14" s="3" t="inlineStr">
        <is>
          <t xml:space="preserve">Верхняя граница</t>
        </is>
      </c>
      <c r="B14" s="12" t="str">
        <f>"=СРЗНАЧ("&amp;"B12:B131"&amp;")+полуширина"</f>
      </c>
    </row>
    <row r="16" ht="17" customHeight="1">
      <c r="A16" s="2" t="inlineStr">
        <is>
          <t xml:space="preserve">Ваш расчёт</t>
        </is>
      </c>
      <c r="B16" s="2"/>
      <c r="C16" s="2"/>
    </row>
    <row r="17" ht="17" customHeight="1">
      <c r="A17" s="3" t="inlineStr">
        <is>
          <t xml:space="preserve">Количество (n)</t>
        </is>
      </c>
      <c r="B17" s="13">
        <f>COUNT(Выборка1)</f>
      </c>
    </row>
    <row r="18" ht="17" customHeight="1">
      <c r="A18" s="3" t="inlineStr">
        <is>
          <t xml:space="preserve">Среднее (M)</t>
        </is>
      </c>
      <c r="B18" s="7">
        <f>IF(COUNT(Выборка1)=0,"—",AVERAGE(Выборка1))</f>
      </c>
    </row>
    <row r="19" ht="17" customHeight="1">
      <c r="A19" s="3" t="inlineStr">
        <is>
          <t xml:space="preserve">Ошибка среднего (m)</t>
        </is>
      </c>
      <c r="B19" s="7">
        <f>IF(COUNT(Выборка1)&lt;2,"—",STDEV(Выборка1)/SQRT(COUNT(Выборка1)))</f>
      </c>
    </row>
    <row r="20" ht="17" customHeight="1">
      <c r="A20" s="3" t="inlineStr">
        <is>
          <t xml:space="preserve">Критическое t (α = 0,05)</t>
        </is>
      </c>
      <c r="B20" s="8">
        <f>IF(COUNT(Выборка1)&lt;2,"—",TINV(0.05,COUNT(Выборка1)-1))</f>
      </c>
    </row>
    <row r="21" ht="17" customHeight="1">
      <c r="A21" s="3" t="inlineStr">
        <is>
          <t xml:space="preserve">Полуширина интервала</t>
        </is>
      </c>
      <c r="B21" s="7">
        <f>IF(COUNT(Выборка1)&lt;2,"—",TINV(0.05,COUNT(Выборка1)-1)*STDEV(Выборка1)/SQRT(COUNT(Выборка1)))</f>
      </c>
    </row>
    <row r="22" ht="17" customHeight="1">
      <c r="A22" s="3" t="inlineStr">
        <is>
          <t xml:space="preserve">Нижняя граница</t>
        </is>
      </c>
      <c r="B22" s="7">
        <f>IF(COUNT(Выборка1)&lt;2,"—",AVERAGE(Выборка1)-TINV(0.05,COUNT(Выборка1)-1)*STDEV(Выборка1)/SQRT(COUNT(Выборка1)))</f>
      </c>
    </row>
    <row r="23" ht="17" customHeight="1">
      <c r="A23" s="3" t="inlineStr">
        <is>
          <t xml:space="preserve">Верхняя граница</t>
        </is>
      </c>
      <c r="B23" s="7">
        <f>IF(COUNT(Выборка1)&lt;2,"—",AVERAGE(Выборка1)+TINV(0.05,COUNT(Выборка1)-1)*STDEV(Выборка1)/SQRT(COUNT(Выборка1)))</f>
      </c>
    </row>
    <row r="25" ht="17" customHeight="1">
      <c r="A25" s="2" t="inlineStr">
        <is>
          <t xml:space="preserve">Вывод для диплома</t>
        </is>
      </c>
      <c r="B25" s="2"/>
      <c r="C25" s="2"/>
    </row>
    <row r="26" ht="34" customHeight="1">
      <c r="A26" s="11" t="str">
        <f>IF(COUNT(Выборка1)&lt;2,"Нужно хотя бы два значения.","95% доверительный интервал для среднего значения показателя «"&amp;Показатель&amp;"»: от "&amp;FIXED(AVERAGE(Выборка1)-TINV(0.05,COUNT(Выборка1)-1)*STDEV(Выборка1)/SQRT(COUNT(Выборка1)),2,TRUE)&amp;" до "&amp;FIXED(AVERAGE(Выборка1)+TINV(0.05,COUNT(Выборка1)-1)*STDEV(Выборка1)/SQRT(COUNT(Выборка1)),2,TRUE)&amp;" "&amp;Единицы&amp;".")</f>
      </c>
      <c r="B26" s="11"/>
      <c r="C26" s="11"/>
    </row>
    <row r="28" ht="17" customHeight="1">
      <c r="A28" s="2" t="inlineStr">
        <is>
          <t xml:space="preserve">Частые ошибки</t>
        </is>
      </c>
      <c r="B28" s="2"/>
      <c r="C28" s="2"/>
    </row>
    <row r="29" ht="34" customHeight="1">
      <c r="A29" s="10" t="inlineStr">
        <is>
          <t xml:space="preserve">Берут 1,96 вместо критического t. Число 1,96 годится для больших выборок; при 15–30 человек нужен именно СТЬЮДРАСПОБР.</t>
        </is>
      </c>
    </row>
    <row r="30" ht="34" customHeight="1">
      <c r="A30" s="10" t="inlineStr">
        <is>
          <t xml:space="preserve">Считают, что интервал показывает разброс людей. Нет: он показывает точность оценки среднего. Разброс людей — это σ.</t>
        </is>
      </c>
    </row>
    <row r="31" ht="17" customHeight="1">
      <c r="A31" s="10" t="inlineStr">
        <is>
          <t xml:space="preserve">Пишут в СТЬЮДРАСПОБР 0,95 вместо 0,05. Функция ждёт уровень значимости, а не доверия.</t>
        </is>
      </c>
    </row>
  </sheetData>
  <mergeCells count="15">
    <mergeCell ref="A1:C1"/>
    <mergeCell ref="A3:C3"/>
    <mergeCell ref="A4:C4"/>
    <mergeCell ref="A5:C5"/>
    <mergeCell ref="A7:C7"/>
    <mergeCell ref="A8:C8"/>
    <mergeCell ref="A9:C9"/>
    <mergeCell ref="A11:C11"/>
    <mergeCell ref="A16:C16"/>
    <mergeCell ref="A25:C25"/>
    <mergeCell ref="A26:C26"/>
    <mergeCell ref="A28:C28"/>
    <mergeCell ref="A29:C29"/>
    <mergeCell ref="A30:C30"/>
    <mergeCell ref="A31:C31"/>
  </mergeCell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AD47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Проверка нормальности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От формы распределения зависит выбор критерия: при нормальном распределении применяют t-критерий Стьюдента, при ненормальном — ранговые критерии Манна-Уитни и Вилкоксона.</t>
        </is>
      </c>
    </row>
    <row r="5" ht="34" customHeight="1">
      <c r="A5" s="10" t="inlineStr">
        <is>
          <t xml:space="preserve">Здесь распределение оценивается по асимметрии (перекос влево или вправо) и эксцессу (острота пика). Если оба показателя не превышают три свои ошибки, распределение считают близким к нормальному.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Перед любым сравнением групп, если ваши данные — измерения (сантиметры, килограммы, секунды).</t>
        </is>
      </c>
    </row>
    <row r="9" ht="17" customHeight="1">
      <c r="A9" s="10" t="inlineStr">
        <is>
          <t xml:space="preserve">Для баллов теста проверка не нужна: порядковая шкала сразу требует рангового критерия.</t>
        </is>
      </c>
    </row>
    <row r="11" ht="17" customHeight="1">
      <c r="A11" s="2" t="inlineStr">
        <is>
          <t xml:space="preserve">Какую формулу вбить в Excel</t>
        </is>
      </c>
      <c r="B11" s="2"/>
      <c r="C11" s="2"/>
    </row>
    <row r="12" ht="17" customHeight="1">
      <c r="A12" s="3" t="inlineStr">
        <is>
          <t xml:space="preserve">Асимметрия</t>
        </is>
      </c>
      <c r="B12" s="12" t="str">
        <f>IF('23. Расчёты'!$B$46=1,"=СКОС(столбец разностей)","=СКОС("&amp;"B12:B131"&amp;")")</f>
      </c>
      <c r="C12" s="10" t="inlineStr">
        <is>
          <t xml:space="preserve">в режиме «До и После» — по разностям</t>
        </is>
      </c>
    </row>
    <row r="13" ht="17" customHeight="1">
      <c r="A13" s="3" t="inlineStr">
        <is>
          <t xml:space="preserve">Эксцесс</t>
        </is>
      </c>
      <c r="B13" s="12" t="str">
        <f>IF('23. Расчёты'!$B$46=1,"=ЭКСЦЕСС(столбец разностей)","=ЭКСЦЕСС("&amp;"B12:B131"&amp;")")</f>
      </c>
    </row>
    <row r="14" ht="17" customHeight="1">
      <c r="A14" s="3" t="inlineStr">
        <is>
          <t xml:space="preserve">Ошибка асимметрии</t>
        </is>
      </c>
      <c r="B14" s="12" t="str">
        <f>"=КОРЕНЬ(6*n*(n-1)/((n-2)*(n+1)*(n+3)))"</f>
      </c>
    </row>
    <row r="15" ht="17" customHeight="1">
      <c r="A15" s="3" t="inlineStr">
        <is>
          <t xml:space="preserve">Ошибка эксцесса</t>
        </is>
      </c>
      <c r="B15" s="12" t="str">
        <f>"=КОРЕНЬ(24*n*(n-1)^2/((n-3)*(n-2)*(n+3)*(n+5)))"</f>
      </c>
    </row>
    <row r="17" ht="17" customHeight="1">
      <c r="A17" s="2" t="inlineStr">
        <is>
          <t xml:space="preserve">Ваш расчёт</t>
        </is>
      </c>
      <c r="B17" s="2"/>
      <c r="C17" s="2"/>
    </row>
    <row r="18" ht="17" customHeight="1">
      <c r="A18" s="3" t="inlineStr">
        <is>
          <t xml:space="preserve">Что проверяем</t>
        </is>
      </c>
      <c r="B18" s="6" t="str">
        <f>IF('23. Расчёты'!$B$46=1,"разности «после минус до»","значения выборки")</f>
      </c>
    </row>
    <row r="19" ht="17" customHeight="1">
      <c r="A19" s="3" t="inlineStr">
        <is>
          <t xml:space="preserve">Количество (n)</t>
        </is>
      </c>
      <c r="B19" s="13">
        <f>IF('23. Расчёты'!$B$46=1,'23. Расчёты'!$B$20,COUNT(Выборка1))</f>
      </c>
    </row>
    <row r="20" ht="17" customHeight="1">
      <c r="A20" s="3" t="inlineStr">
        <is>
          <t xml:space="preserve">Асимметрия (A)</t>
        </is>
      </c>
      <c r="B20" s="8">
        <f>IF(IF('23. Расчёты'!$B$46=1,'23. Расчёты'!$B$23,'23. Расчёты'!$B$10)="","—",IF('23. Расчёты'!$B$46=1,'23. Расчёты'!$B$23,'23. Расчёты'!$B$10))</f>
      </c>
    </row>
    <row r="21" ht="17" customHeight="1">
      <c r="A21" s="3" t="inlineStr">
        <is>
          <t xml:space="preserve">Ошибка асимметрии</t>
        </is>
      </c>
      <c r="B21" s="8">
        <f>IF(IF('23. Расчёты'!$B$46=1,'23. Расчёты'!$B$24,'23. Расчёты'!$B$11)="","—",IF('23. Расчёты'!$B$46=1,'23. Расчёты'!$B$24,'23. Расчёты'!$B$11))</f>
      </c>
    </row>
    <row r="22" ht="17" customHeight="1">
      <c r="A22" s="3" t="inlineStr">
        <is>
          <t xml:space="preserve">Эксцесс (E)</t>
        </is>
      </c>
      <c r="B22" s="8">
        <f>IF(IF('23. Расчёты'!$B$46=1,'23. Расчёты'!$B$25,'23. Расчёты'!$B$12)="","—",IF('23. Расчёты'!$B$46=1,'23. Расчёты'!$B$25,'23. Расчёты'!$B$12))</f>
      </c>
    </row>
    <row r="23" ht="17" customHeight="1">
      <c r="A23" s="3" t="inlineStr">
        <is>
          <t xml:space="preserve">Ошибка эксцесса</t>
        </is>
      </c>
      <c r="B23" s="8">
        <f>IF(IF('23. Расчёты'!$B$46=1,'23. Расчёты'!$B$26,'23. Расчёты'!$B$13)="","—",IF('23. Расчёты'!$B$46=1,'23. Расчёты'!$B$26,'23. Расчёты'!$B$13))</f>
      </c>
    </row>
    <row r="24" ht="17" customHeight="1">
      <c r="A24" s="3" t="inlineStr">
        <is>
          <t xml:space="preserve">Асимметрия в норме?</t>
        </is>
      </c>
      <c r="B24" s="6" t="str">
        <f>IF(OR(IF('23. Расчёты'!$B$46=1,'23. Расчёты'!$B$23,'23. Расчёты'!$B$10)="",IF('23. Расчёты'!$B$46=1,'23. Расчёты'!$B$24,'23. Расчёты'!$B$11)=""),"—",IF(ABS(IF('23. Расчёты'!$B$46=1,'23. Расчёты'!$B$23,'23. Расчёты'!$B$10))&lt;3*IF('23. Расчёты'!$B$46=1,'23. Расчёты'!$B$24,'23. Расчёты'!$B$11),"да","нет"))</f>
      </c>
    </row>
    <row r="25" ht="17" customHeight="1">
      <c r="A25" s="3" t="inlineStr">
        <is>
          <t xml:space="preserve">Эксцесс в норме?</t>
        </is>
      </c>
      <c r="B25" s="6" t="str">
        <f>IF(OR(IF('23. Расчёты'!$B$46=1,'23. Расчёты'!$B$25,'23. Расчёты'!$B$12)="",IF('23. Расчёты'!$B$46=1,'23. Расчёты'!$B$26,'23. Расчёты'!$B$13)=""),"—",IF(ABS(IF('23. Расчёты'!$B$46=1,'23. Расчёты'!$B$25,'23. Расчёты'!$B$12))&lt;3*IF('23. Расчёты'!$B$46=1,'23. Расчёты'!$B$26,'23. Расчёты'!$B$13),"да","нет"))</f>
      </c>
    </row>
    <row r="26" ht="17" customHeight="1">
      <c r="A26" s="3" t="inlineStr">
        <is>
          <t xml:space="preserve">Итог</t>
        </is>
      </c>
      <c r="B26" s="6" t="str">
        <f>IF('23. Расчёты'!$B$47=1,"близко к нормальному","отклоняется от нормального")</f>
      </c>
    </row>
    <row r="27" ht="17" customHeight="1">
      <c r="A27" s="3" t="inlineStr">
        <is>
          <t xml:space="preserve">Какой критерий применить</t>
        </is>
      </c>
      <c r="B27" s="6" t="str">
        <f>IF('23. Расчёты'!$B$48=1,"ранговый — шкала порядковая",IF('23. Расчёты'!$B$47=1,"t-критерий Стьюдента","ранговый критерий"))</f>
      </c>
    </row>
    <row r="29" ht="17" customHeight="1">
      <c r="A29" s="2" t="inlineStr">
        <is>
          <t xml:space="preserve">Вывод для диплома</t>
        </is>
      </c>
      <c r="B29" s="2"/>
      <c r="C29" s="2"/>
    </row>
    <row r="30" ht="34" customHeight="1">
      <c r="A30" s="11" t="str">
        <f>IF(COUNT(Выборка1)&lt;6,"Для проверки нужно хотя бы шесть значений.","Распределение "&amp;IF('23. Расчёты'!$B$46=1,"разностей по показателю «","значений показателя «")&amp;Показатель&amp;"» "&amp;IF('23. Расчёты'!$B$47=1,"близко к нормальному: асимметрия и эксцесс не превышают трёх своих ошибок, поэтому применим параметрический критерий.","отличается от нормального, поэтому применяются непараметрические критерии."))</f>
      </c>
      <c r="B30" s="11"/>
      <c r="C30" s="11"/>
    </row>
    <row r="32" ht="17" customHeight="1">
      <c r="A32" s="2" t="inlineStr">
        <is>
          <t xml:space="preserve">Частые ошибки</t>
        </is>
      </c>
      <c r="B32" s="2"/>
      <c r="C32" s="2"/>
    </row>
    <row r="33" ht="17" customHeight="1">
      <c r="A33" s="10" t="inlineStr">
        <is>
          <t xml:space="preserve">Проверяют нормальность у баллов опросника. Порядковая шкала сразу требует ранговых критериев — проверка не нужна.</t>
        </is>
      </c>
    </row>
    <row r="34" ht="17" customHeight="1">
      <c r="A34" s="10" t="inlineStr">
        <is>
          <t xml:space="preserve">При сравнении «до и после» проверяют исходные значения, а нужно проверять их разности.</t>
        </is>
      </c>
    </row>
    <row r="35" ht="17" customHeight="1">
      <c r="A35" s="10" t="inlineStr">
        <is>
          <t xml:space="preserve">Считают, что при n &lt; 30 нормальности не бывает. Дело не в объёме: маленькая выборка просто хуже позволяет её обнаружить.</t>
        </is>
      </c>
    </row>
    <row r="36" ht="17" customHeight="1">
      <c r="A36" s="10" t="inlineStr">
        <is>
          <t xml:space="preserve">Строгий критерий Шапиро-Уилка формулами Excel не воспроизводится: ему нужны табличные коэффициенты на каждый объём выборки.</t>
        </is>
      </c>
    </row>
  </sheetData>
  <mergeCells count="16">
    <mergeCell ref="A1:C1"/>
    <mergeCell ref="A3:C3"/>
    <mergeCell ref="A4:C4"/>
    <mergeCell ref="A5:C5"/>
    <mergeCell ref="A7:C7"/>
    <mergeCell ref="A8:C8"/>
    <mergeCell ref="A9:C9"/>
    <mergeCell ref="A11:C11"/>
    <mergeCell ref="A17:C17"/>
    <mergeCell ref="A29:C29"/>
    <mergeCell ref="A30:C30"/>
    <mergeCell ref="A32:C32"/>
    <mergeCell ref="A33:C33"/>
    <mergeCell ref="A34:C34"/>
    <mergeCell ref="A35:C35"/>
    <mergeCell ref="A36:C36"/>
  </mergeCell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4472C4"/>
  </sheetPr>
  <sheetViews>
    <sheetView workbookViewId="0" showGridLines="0"/>
  </sheetViews>
  <sheetFormatPr defaultRowHeight="15"/>
  <cols>
    <col min="1" max="1" width="34.00" customWidth="1"/>
    <col min="2" max="2" width="52.00" customWidth="1"/>
    <col min="3" max="3" width="52.00" customWidth="1"/>
  </cols>
  <sheetData>
    <row r="1" ht="17" customHeight="1">
      <c r="A1" s="1" t="inlineStr">
        <is>
          <t xml:space="preserve">t-Стьюдента (две группы)</t>
        </is>
      </c>
      <c r="B1" s="1"/>
      <c r="C1" s="1"/>
    </row>
    <row r="3" ht="17" customHeight="1">
      <c r="A3" s="2" t="inlineStr">
        <is>
          <t xml:space="preserve">Что это такое</t>
        </is>
      </c>
      <c r="B3" s="2"/>
      <c r="C3" s="2"/>
    </row>
    <row r="4" ht="34" customHeight="1">
      <c r="A4" s="10" t="inlineStr">
        <is>
          <t xml:space="preserve">t-критерий Стьюдента для независимых выборок отвечает на вопрос: действительно ли две группы различаются, или разница в средних — просто случайность.</t>
        </is>
      </c>
    </row>
    <row r="5" ht="34" customHeight="1">
      <c r="A5" s="10" t="inlineStr">
        <is>
          <t xml:space="preserve">Независимые выборки — это разные люди: контрольная и экспериментальная группа, юноши и девушки, спортсмены и новички.</t>
        </is>
      </c>
    </row>
    <row r="7" ht="17" customHeight="1">
      <c r="A7" s="2" t="inlineStr">
        <is>
          <t xml:space="preserve">Когда применять</t>
        </is>
      </c>
      <c r="B7" s="2"/>
      <c r="C7" s="2"/>
    </row>
    <row r="8" ht="17" customHeight="1">
      <c r="A8" s="10" t="inlineStr">
        <is>
          <t xml:space="preserve">Данные — измерения (сантиметры, килограммы, секунды), а не баллы теста.</t>
        </is>
      </c>
    </row>
    <row r="9" ht="17" customHeight="1">
      <c r="A9" s="10" t="inlineStr">
        <is>
          <t xml:space="preserve">Распределение в обеих группах близко к нормальному — это проверяется на листе «Проверка нормальности».</t>
        </is>
      </c>
    </row>
    <row r="10" ht="17" customHeight="1">
      <c r="A10" s="10" t="inlineStr">
        <is>
          <t xml:space="preserve">Если хотя бы одно условие не выполняется, применяйте U Манна-Уитни.</t>
        </is>
      </c>
    </row>
    <row r="12" ht="17" customHeight="1">
      <c r="A12" s="2" t="inlineStr">
        <is>
          <t xml:space="preserve">Какую формулу вбить в Excel</t>
        </is>
      </c>
      <c r="B12" s="2"/>
      <c r="C12" s="2"/>
    </row>
    <row r="13" ht="17" customHeight="1">
      <c r="A13" s="3" t="inlineStr">
        <is>
          <t xml:space="preserve">Готовое значение p</t>
        </is>
      </c>
      <c r="B13" s="12" t="str">
        <f>"=ТТЕСТ("&amp;"B12:B131"&amp;";"&amp;"C12:C131"&amp;";2;2)"</f>
      </c>
      <c r="C13" s="10" t="inlineStr">
        <is>
          <t xml:space="preserve">самый короткий путь</t>
        </is>
      </c>
    </row>
    <row r="14" ht="17" customHeight="1">
      <c r="A14" s="3" t="inlineStr">
        <is>
          <t xml:space="preserve">Среднее первой группы</t>
        </is>
      </c>
      <c r="B14" s="12" t="str">
        <f>"=СРЗНАЧ("&amp;"B12:B131"&amp;")"</f>
      </c>
    </row>
    <row r="15" ht="17" customHeight="1">
      <c r="A15" s="3" t="inlineStr">
        <is>
          <t xml:space="preserve">Дисперсия первой группы</t>
        </is>
      </c>
      <c r="B15" s="12" t="str">
        <f>"=ДИСП("&amp;"B12:B131"&amp;")"</f>
      </c>
    </row>
    <row r="16" ht="17" customHeight="1">
      <c r="A16" s="3" t="inlineStr">
        <is>
          <t xml:space="preserve">Критическое t</t>
        </is>
      </c>
      <c r="B16" s="12" t="str">
        <f>"=СТЬЮДРАСПОБР(0,05;n1+n2-2)"</f>
      </c>
    </row>
    <row r="18" ht="17" customHeight="1">
      <c r="A18" s="2" t="inlineStr">
        <is>
          <t xml:space="preserve">Ваш расчёт</t>
        </is>
      </c>
      <c r="B18" s="2"/>
      <c r="C18" s="2"/>
    </row>
    <row r="19" ht="49" customHeight="1">
      <c r="A19" s="3" t="inlineStr">
        <is>
          <t xml:space="preserve">Режим</t>
        </is>
      </c>
      <c r="B19" s="6" t="str">
        <f>IF('23. Расчёты'!$B$46=1,"ВНИМАНИЕ: на листе «Мои данные» выбрано «До и После». Этот критерий для двух независимых групп — результат ниже считается справочно.","Режим выбран верно.")</f>
      </c>
    </row>
    <row r="20" ht="17" customHeight="1">
      <c r="A20" s="3" t="inlineStr">
        <is>
          <t xml:space="preserve">n первой выборки</t>
        </is>
      </c>
      <c r="B20" s="13">
        <f>'23. Расчёты'!$B$2</f>
      </c>
    </row>
    <row r="21" ht="17" customHeight="1">
      <c r="A21" s="3" t="inlineStr">
        <is>
          <t xml:space="preserve">n второй выборки</t>
        </is>
      </c>
      <c r="B21" s="13">
        <f>'23. Расчёты'!$B$3</f>
      </c>
    </row>
    <row r="22" ht="17" customHeight="1">
      <c r="A22" s="3" t="inlineStr">
        <is>
          <t xml:space="preserve">Среднее первой (M₁)</t>
        </is>
      </c>
      <c r="B22" s="7">
        <f>IF('23. Расчёты'!$B$4="","—",'23. Расчёты'!$B$4)</f>
      </c>
    </row>
    <row r="23" ht="17" customHeight="1">
      <c r="A23" s="3" t="inlineStr">
        <is>
          <t xml:space="preserve">Среднее второй (M₂)</t>
        </is>
      </c>
      <c r="B23" s="7">
        <f>IF('23. Расчёты'!$B$5="","—",'23. Расчёты'!$B$5)</f>
      </c>
    </row>
    <row r="24" ht="17" customHeight="1">
      <c r="A24" s="3" t="inlineStr">
        <is>
          <t xml:space="preserve">Отклонение первой (σ₁)</t>
        </is>
      </c>
      <c r="B24" s="7">
        <f>IF('23. Расчёты'!$B$6="","—",'23. Расчёты'!$B$6)</f>
      </c>
    </row>
    <row r="25" ht="17" customHeight="1">
      <c r="A25" s="3" t="inlineStr">
        <is>
          <t xml:space="preserve">Отклонение второй (σ₂)</t>
        </is>
      </c>
      <c r="B25" s="7">
        <f>IF('23. Расчёты'!$B$7="","—",'23. Расчёты'!$B$7)</f>
      </c>
    </row>
    <row r="26" ht="17" customHeight="1">
      <c r="A26" s="3" t="inlineStr">
        <is>
          <t xml:space="preserve">Число степеней свободы (df)</t>
        </is>
      </c>
      <c r="B26" s="13">
        <f>IF('23. Расчёты'!$B$32="","—",'23. Расчёты'!$B$32)</f>
      </c>
    </row>
    <row r="27" ht="17" customHeight="1">
      <c r="A27" s="3" t="inlineStr">
        <is>
          <t xml:space="preserve">Эмпирическое t</t>
        </is>
      </c>
      <c r="B27" s="8">
        <f>IF('23. Расчёты'!$B$31="","—",'23. Расчёты'!$B$31)</f>
      </c>
    </row>
    <row r="28" ht="17" customHeight="1">
      <c r="A28" s="3" t="inlineStr">
        <is>
          <t xml:space="preserve">Критическое t (α = 0,05)</t>
        </is>
      </c>
      <c r="B28" s="8">
        <f>IF('23. Расчёты'!$B$32="","—",TINV(0.05,'23. Расчёты'!$B$32))</f>
      </c>
    </row>
    <row r="29" ht="17" customHeight="1">
      <c r="A29" s="3" t="inlineStr">
        <is>
          <t xml:space="preserve">Сравнение с табличным</t>
        </is>
      </c>
      <c r="B29" s="6" t="str">
        <f>IF('23. Расчёты'!$B$31="","—",IF(ABS('23. Расчёты'!$B$31)&gt;TINV(0.05,'23. Расчёты'!$B$32),"t эмп. больше критического → различия есть","t эмп. меньше критического → различий нет"))</f>
      </c>
    </row>
    <row r="30" ht="17" customHeight="1">
      <c r="A30" s="3" t="inlineStr">
        <is>
          <t xml:space="preserve">Уровень значимости p</t>
        </is>
      </c>
      <c r="B30" s="8">
        <f>IF('23. Расчёты'!$B$33="","—",'23. Расчёты'!$B$33)</f>
      </c>
    </row>
    <row r="31" ht="17" customHeight="1">
      <c r="A31" s="3" t="inlineStr">
        <is>
          <t xml:space="preserve">Размер эффекта (d Коэна)</t>
        </is>
      </c>
      <c r="B31" s="8">
        <f>IF('23. Расчёты'!$B$34="","—",'23. Расчёты'!$B$34)</f>
      </c>
    </row>
    <row r="32" ht="17" customHeight="1">
      <c r="A32" s="3" t="inlineStr">
        <is>
          <t xml:space="preserve">Величина эффекта</t>
        </is>
      </c>
      <c r="B32" s="6" t="str">
        <f>IF('23. Расчёты'!$B$34="","—",IF(ABS('23. Расчёты'!$B$34)&lt;0.2,"незначительная",IF(ABS('23. Расчёты'!$B$34)&lt;0.5,"малая",IF(ABS('23. Расчёты'!$B$34)&lt;0.8,"средняя","большая"))))</f>
      </c>
    </row>
    <row r="34" ht="17" customHeight="1">
      <c r="A34" s="2" t="inlineStr">
        <is>
          <t xml:space="preserve">Вывод для диплома</t>
        </is>
      </c>
      <c r="B34" s="2"/>
      <c r="C34" s="2"/>
    </row>
    <row r="35" ht="34" customHeight="1">
      <c r="A35" s="11" t="str">
        <f>IF('23. Расчёты'!$B$33="","Недостаточно данных для расчёта.",IF('23. Расчёты'!$B$33&lt;0.05,"Различия между выборками по показателю «"&amp;Показатель&amp;"» статистически достоверны (t-критерий Стьюдента, p "&amp;IF('23. Расчёты'!$B$33&lt;0.001,"&lt; 0,001","= "&amp;FIXED('23. Расчёты'!$B$33,3,TRUE))&amp;"). Нулевая гипотеза отвергается.","Статистически достоверных различий по показателю «"&amp;Показатель&amp;"» не выявлено (t-критерий Стьюдента, p = "&amp;FIXED('23. Расчёты'!$B$33,3,TRUE)&amp;"). Нулевая гипотеза принимается."))</f>
      </c>
      <c r="B35" s="11"/>
      <c r="C35" s="11"/>
    </row>
    <row r="37" ht="17" customHeight="1">
      <c r="A37" s="2" t="inlineStr">
        <is>
          <t xml:space="preserve">Частые ошибки</t>
        </is>
      </c>
      <c r="B37" s="2"/>
      <c r="C37" s="2"/>
    </row>
    <row r="38" ht="17" customHeight="1">
      <c r="A38" s="10" t="inlineStr">
        <is>
          <t xml:space="preserve">Применяют к баллам опросника. Для баллов нужен U Манна-Уитни — это порядковая шкала.</t>
        </is>
      </c>
    </row>
    <row r="39" ht="17" customHeight="1">
      <c r="A39" s="10" t="inlineStr">
        <is>
          <t xml:space="preserve">Не проверяют нормальность распределения перед расчётом.</t>
        </is>
      </c>
    </row>
    <row r="40" ht="34" customHeight="1">
      <c r="A40" s="10" t="inlineStr">
        <is>
          <t xml:space="preserve">Сравнивают «до и после» у одних и тех же людей этим критерием. Для повторных замеров нужен парный t-критерий — он на соседнем листе.</t>
        </is>
      </c>
    </row>
    <row r="41" ht="17" customHeight="1">
      <c r="A41" s="10" t="inlineStr">
        <is>
          <t xml:space="preserve">Пишут «t = 2,5, значит различия достоверны», не сравнив с критическим значением и не указав p.</t>
        </is>
      </c>
    </row>
  </sheetData>
  <mergeCells count="17">
    <mergeCell ref="A1:C1"/>
    <mergeCell ref="A3:C3"/>
    <mergeCell ref="A4:C4"/>
    <mergeCell ref="A5:C5"/>
    <mergeCell ref="A7:C7"/>
    <mergeCell ref="A8:C8"/>
    <mergeCell ref="A9:C9"/>
    <mergeCell ref="A10:C10"/>
    <mergeCell ref="A12:C12"/>
    <mergeCell ref="A18:C18"/>
    <mergeCell ref="A34:C34"/>
    <mergeCell ref="A35:C35"/>
    <mergeCell ref="A37:C37"/>
    <mergeCell ref="A38:C38"/>
    <mergeCell ref="A39:C39"/>
    <mergeCell ref="A40:C40"/>
    <mergeCell ref="A41:C41"/>
  </mergeCells>
</worksheet>
</file>